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15.xml" ContentType="application/vnd.openxmlformats-officedocument.spreadsheetml.comments+xml"/>
  <Override PartName="/xl/styles.xml" ContentType="application/vnd.openxmlformats-officedocument.spreadsheetml.styles+xml"/>
  <Override PartName="/xl/worksheets/_rels/sheet15.xml.rels" ContentType="application/vnd.openxmlformats-package.relationships+xml"/>
  <Override PartName="/xl/worksheets/_rels/sheet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C" sheetId="1" state="visible" r:id="rId3"/>
    <sheet name="Assm" sheetId="2" state="visible" r:id="rId4"/>
    <sheet name="CF" sheetId="3" state="visible" r:id="rId5"/>
    <sheet name="Returns" sheetId="4" state="visible" r:id="rId6"/>
    <sheet name="EINC" sheetId="5" state="visible" r:id="rId7"/>
    <sheet name="PLRisk" sheetId="6" state="visible" r:id="rId8"/>
    <sheet name="Trapped" sheetId="7" state="visible" r:id="rId9"/>
    <sheet name="Turnkey" sheetId="8" state="visible" r:id="rId10"/>
    <sheet name="Drawdown" sheetId="9" state="visible" r:id="rId11"/>
    <sheet name="IDC" sheetId="10" state="visible" r:id="rId12"/>
    <sheet name="Debt Amort" sheetId="11" state="visible" r:id="rId13"/>
    <sheet name="Sudam" sheetId="12" state="visible" r:id="rId14"/>
    <sheet name="Taxes" sheetId="13" state="visible" r:id="rId15"/>
    <sheet name="Depr" sheetId="14" state="visible" r:id="rId16"/>
    <sheet name="CommonSized" sheetId="15" state="visible" r:id="rId17"/>
    <sheet name="BS_IS" sheetId="16" state="visible" r:id="rId18"/>
    <sheet name="Ref1" sheetId="17" state="visible" r:id="rId19"/>
    <sheet name="Ref2" sheetId="18" state="visible" r:id="rId20"/>
    <sheet name="Ref3" sheetId="19" state="visible" r:id="rId21"/>
    <sheet name="Ref4" sheetId="20" state="visible" r:id="rId22"/>
    <sheet name="Ref5" sheetId="21" state="visible" r:id="rId23"/>
    <sheet name="Transportation" sheetId="22" state="visible" r:id="rId24"/>
    <sheet name="Escalation" sheetId="23" state="visible" r:id="rId25"/>
    <sheet name="Converge_Model" sheetId="24" state="hidden" r:id="rId26"/>
    <sheet name="Commit" sheetId="25" state="hidden" r:id="rId27"/>
  </sheets>
  <externalReferences>
    <externalReference r:id="rId28"/>
    <externalReference r:id="rId29"/>
    <externalReference r:id="rId30"/>
    <externalReference r:id="rId31"/>
  </externalReferences>
  <definedNames>
    <definedName function="false" hidden="false" localSheetId="1" name="_xlnm.Print_Area" vbProcedure="false">Assm!$A:$X</definedName>
    <definedName function="false" hidden="false" localSheetId="15" name="_xlnm.Print_Area" vbProcedure="false">BS_IS!$A:$AC</definedName>
    <definedName function="false" hidden="false" localSheetId="2" name="_xlnm.Print_Area" vbProcedure="false">CF!$A:$Z</definedName>
    <definedName function="false" hidden="false" localSheetId="10" name="_xlnm.Print_Area" vbProcedure="false">'Debt Amort'!$A$1:$AB$78</definedName>
    <definedName function="false" hidden="false" localSheetId="13" name="_xlnm.Print_Area" vbProcedure="false">Depr!$A:$AC</definedName>
    <definedName function="false" hidden="false" localSheetId="8" name="_xlnm.Print_Area" vbProcedure="false">Drawdown!$A:$AP</definedName>
    <definedName function="false" hidden="false" localSheetId="4" name="_xlnm.Print_Area" vbProcedure="false">EINC!$A:$AA</definedName>
    <definedName function="false" hidden="false" localSheetId="22" name="_xlnm.Print_Area" vbProcedure="false">Escalation!$A$12:$P$289</definedName>
    <definedName function="false" hidden="false" localSheetId="22" name="_xlnm.Print_Titles" vbProcedure="false">Escalation!$12:$18</definedName>
    <definedName function="false" hidden="false" localSheetId="9" name="_xlnm.Print_Area" vbProcedure="false">IDC!$A:$AO</definedName>
    <definedName function="false" hidden="false" localSheetId="5" name="_xlnm.Print_Area" vbProcedure="false">PLRisk!$A:$AA</definedName>
    <definedName function="false" hidden="false" localSheetId="16" name="_xlnm.Print_Area" vbProcedure="false">Ref1!$A:$I</definedName>
    <definedName function="false" hidden="false" localSheetId="17" name="_xlnm.Print_Area" vbProcedure="false">Ref2!$A:$I</definedName>
    <definedName function="false" hidden="false" localSheetId="19" name="_xlnm.Print_Area" vbProcedure="false">Ref4!$A:$I</definedName>
    <definedName function="false" hidden="false" localSheetId="20" name="_xlnm.Print_Area" vbProcedure="false">Ref5!$A:$I</definedName>
    <definedName function="false" hidden="false" localSheetId="3" name="_xlnm.Print_Area" vbProcedure="false">Returns!$A:$AB</definedName>
    <definedName function="false" hidden="false" localSheetId="11" name="_xlnm.Print_Area" vbProcedure="false">Sudam!$A$1:$Y$45</definedName>
    <definedName function="false" hidden="false" localSheetId="12" name="_xlnm.Print_Area" vbProcedure="false">Taxes!$A:$Y</definedName>
    <definedName function="false" hidden="false" localSheetId="0" name="_xlnm.Print_Area" vbProcedure="false">TOC!$A:$D</definedName>
    <definedName function="false" hidden="false" localSheetId="6" name="_xlnm.Print_Area" vbProcedure="false">Trapped!$A$1:$AA$72</definedName>
    <definedName function="false" hidden="false" localSheetId="7" name="_xlnm.Print_Area" vbProcedure="false">Turnkey!$A:$K</definedName>
    <definedName function="false" hidden="false" name="Add_Tax" vbProcedure="false">Assm!$J$9</definedName>
    <definedName function="false" hidden="false" name="BL" vbProcedure="false">Assm!$X$85</definedName>
    <definedName function="false" hidden="false" name="BL_Perc" vbProcedure="false">#REF!</definedName>
    <definedName function="false" hidden="false" name="BS" vbProcedure="false">BS_IS!$A$1:$AC$89</definedName>
    <definedName function="false" hidden="false" name="BS_Table" vbProcedure="false">BS_IS!$G$7:$AB$35</definedName>
    <definedName function="false" hidden="false" name="Capacity" vbProcedure="false">Assm!$F$35</definedName>
    <definedName function="false" hidden="false" name="CF_Table" vbProcedure="false">CF!$E$7:$Y$78</definedName>
    <definedName function="false" hidden="false" name="Cofins" vbProcedure="false">Assm!$J$17</definedName>
    <definedName function="false" hidden="false" name="Commit_Factor" vbProcedure="false">Drawdown!$AS$46</definedName>
    <definedName function="false" hidden="false" name="Com_Inputs" vbProcedure="false">IDC!$E$84:$AN$84</definedName>
    <definedName function="false" hidden="false" name="Com_Values" vbProcedure="false">Drawdown!$E$45:$AN$45</definedName>
    <definedName function="false" hidden="false" name="Cost" vbProcedure="false">Assm!$R$46</definedName>
    <definedName function="false" hidden="false" name="CPI" vbProcedure="false">Assm!$F$37</definedName>
    <definedName function="false" hidden="false" name="CPI_1998" vbProcedure="false">#REF!</definedName>
    <definedName function="false" hidden="false" name="CPI_Annual" vbProcedure="false">#REF!</definedName>
    <definedName function="false" hidden="false" name="Curves_Table" vbProcedure="false">Escalation!$A$19:$P$288</definedName>
    <definedName function="false" hidden="false" name="Debt" vbProcedure="false">Assm!$X$68</definedName>
    <definedName function="false" hidden="false" name="Debt_Perc" vbProcedure="false">Assm!$W$68</definedName>
    <definedName function="false" hidden="false" name="Debt_Serv" vbProcedure="false">Assm!$F$25</definedName>
    <definedName function="false" hidden="false" name="Dev_Fee1" vbProcedure="false">[2]Assm!$BG$80</definedName>
    <definedName function="false" hidden="false" name="Dev_Fee2" vbProcedure="false">[2]Assm!$BG$80</definedName>
    <definedName function="false" hidden="false" name="Dev_Fee3" vbProcedure="false">[2]Assm!$BG$80</definedName>
    <definedName function="false" hidden="false" name="Disc" vbProcedure="false">Assm!$P$51</definedName>
    <definedName function="false" hidden="false" name="Draw_Table" vbProcedure="false">Drawdown!$E$7:$AN$68</definedName>
    <definedName function="false" hidden="false" name="Draw_Table2" vbProcedure="false">Drawdown!$E$51:$AN$68</definedName>
    <definedName function="false" hidden="false" name="DS_Table" vbProcedure="false">'Debt Amort'!$A$7:$Y$17</definedName>
    <definedName function="false" hidden="false" name="Ecf" vbProcedure="false">Assm!$X$87</definedName>
    <definedName function="false" hidden="false" name="Endyr" vbProcedure="false">Assm!$F$17</definedName>
    <definedName function="false" hidden="false" name="Equity" vbProcedure="false">Assm!$X$70</definedName>
    <definedName function="false" hidden="false" name="Equity_Perc" vbProcedure="false">Assm!$W$70</definedName>
    <definedName function="false" hidden="false" name="Est_BL" vbProcedure="false">#REF!</definedName>
    <definedName function="false" hidden="false" name="Est_Commit" vbProcedure="false">Assm!$AD$11</definedName>
    <definedName function="false" hidden="false" name="Est_Cost" vbProcedure="false">Assm!$AD$8</definedName>
    <definedName function="false" hidden="false" name="Est_Fin" vbProcedure="false">Assm!$AD$12</definedName>
    <definedName function="false" hidden="false" name="Est_IDC" vbProcedure="false">Assm!$AD$9</definedName>
    <definedName function="false" hidden="false" name="Est_Whtax" vbProcedure="false">Assm!$AD$10</definedName>
    <definedName function="false" hidden="false" name="Ex" vbProcedure="false">Assm!$L$57</definedName>
    <definedName function="false" hidden="false" name="Exit_Table" vbProcedure="false">#REF!</definedName>
    <definedName function="false" hidden="false" name="Fin_Close" vbProcedure="false">Assm!$F$22</definedName>
    <definedName function="false" hidden="false" name="Fin_Table" vbProcedure="false">'Debt Amort'!$B$37:$AD$76</definedName>
    <definedName function="false" hidden="false" name="Guarantee_Fee_Table" vbProcedure="false">'Debt Amort'!$B$37:$AE$76</definedName>
    <definedName function="false" hidden="false" name="Idc_Table" vbProcedure="false">IDC!$E$7:$AN$75</definedName>
    <definedName function="false" hidden="false" name="Idc_Table1" vbProcedure="false">IDC!$E$6:$AO$67</definedName>
    <definedName function="false" hidden="false" name="Inputs" vbProcedure="false">Assm!$AE$7:$AE$13</definedName>
    <definedName function="false" hidden="false" name="Int_BL" vbProcedure="false">Assm!$U$87</definedName>
    <definedName function="false" hidden="false" name="Irr" vbProcedure="false">Assm!$Q$51</definedName>
    <definedName function="false" hidden="false" name="Iss" vbProcedure="false">Assm!$J$23</definedName>
    <definedName function="false" hidden="false" name="Linefill" vbProcedure="false">Assm!$R$15</definedName>
    <definedName function="false" hidden="false" name="Loopfactor" vbProcedure="false">Assm!$Z$12</definedName>
    <definedName function="false" hidden="false" name="MOSYR2" vbProcedure="false">[2]Assm!$BG$80</definedName>
    <definedName function="false" hidden="false" name="Nol" vbProcedure="false">Assm!$J$11</definedName>
    <definedName function="false" hidden="false" name="Npv" vbProcedure="false">Assm!$R$51</definedName>
    <definedName function="false" hidden="false" name="Opic" vbProcedure="false">Assm!$L$78</definedName>
    <definedName function="false" hidden="false" name="Pipe_NTP" vbProcedure="false">Assm!$F$12</definedName>
    <definedName function="false" hidden="false" name="Pipe_RFS" vbProcedure="false">Assm!$F$13</definedName>
    <definedName function="false" hidden="false" name="Pis" vbProcedure="false">Assm!$J$16</definedName>
    <definedName function="false" hidden="false" name="PPI_1998" vbProcedure="false">#REF!</definedName>
    <definedName function="false" hidden="false" name="PRICING" vbProcedure="false">#REF!</definedName>
    <definedName function="false" hidden="false" name="Promote_Fee_New" vbProcedure="false">[2]Assm!$BG$80</definedName>
    <definedName function="false" hidden="false" name="Promote_Fee_Orig" vbProcedure="false">[2]Assm!$BG$80</definedName>
    <definedName function="false" hidden="false" name="Promote_Rate_New" vbProcedure="false">[2]Assm!$BG$80</definedName>
    <definedName function="false" hidden="false" name="Promote_Rate_Orig" vbProcedure="false">[2]Assm!$BG$80</definedName>
    <definedName function="false" hidden="false" name="Promote_Return_Orig" vbProcedure="false">[2]Assm!$BG$80</definedName>
    <definedName function="false" hidden="false" name="Reserve_Table" vbProcedure="false">Trapped!$F$7:$Z$71</definedName>
    <definedName function="false" hidden="false" name="RET_TABLE" vbProcedure="false">Returns!$D$6:$Z$121</definedName>
    <definedName function="false" hidden="false" name="Revenue_Table" vbProcedure="false">Transportation!$A$12:$M$246</definedName>
    <definedName function="false" hidden="false" name="Soc_Tax" vbProcedure="false">Assm!$J$10</definedName>
    <definedName function="false" hidden="false" name="Startconst" vbProcedure="false">Assm!$F$11</definedName>
    <definedName function="false" hidden="false" name="Startops1" vbProcedure="false">Assm!$F$15</definedName>
    <definedName function="false" hidden="false" name="Startops2" vbProcedure="false">Assm!$F$16</definedName>
    <definedName function="false" hidden="false" name="Startops3" vbProcedure="false">[2]Assm!$E$16</definedName>
    <definedName function="false" hidden="false" name="Subdebt_Perc" vbProcedure="false">Assm!$W$69</definedName>
    <definedName function="false" hidden="false" name="Sudam_Table" vbProcedure="false">Assm!$I$35:$L$36</definedName>
    <definedName function="false" hidden="false" name="Target" vbProcedure="false">Assm!$Q$52</definedName>
    <definedName function="false" hidden="false" name="Tariff_Cap" vbProcedure="false">Assm!$D$29</definedName>
    <definedName function="false" hidden="false" name="Tariff_Var" vbProcedure="false">Assm!$D$30</definedName>
    <definedName function="false" hidden="false" name="Tax" vbProcedure="false">Assm!$J$8</definedName>
    <definedName function="false" hidden="false" name="Tax_Table" vbProcedure="false">Taxes!$D$7:$X$90</definedName>
    <definedName function="false" hidden="false" name="Term" vbProcedure="false">Assm!$F$18</definedName>
    <definedName function="false" hidden="false" name="Term_BL" vbProcedure="false">#REF!</definedName>
    <definedName function="false" hidden="false" name="Term_C" vbProcedure="false">Assm!$F$14</definedName>
    <definedName function="false" hidden="false" name="Total_BL" vbProcedure="false">Assm!$U$86</definedName>
    <definedName function="false" hidden="false" name="Turnkey_Table1" vbProcedure="false">#REF!</definedName>
    <definedName function="false" hidden="false" name="USTax" vbProcedure="false">Assm!$J$40</definedName>
    <definedName function="false" hidden="false" name="Values" vbProcedure="false">Assm!$AD$7:$AD$13</definedName>
    <definedName function="false" hidden="false" name="Wcap" vbProcedure="false">Assm!$R$39</definedName>
    <definedName function="false" hidden="false" name="Wh_Div" vbProcedure="false">Assm!$J$12</definedName>
    <definedName function="false" hidden="false" name="Wh_Int" vbProcedure="false">Assm!$J$13</definedName>
    <definedName function="false" hidden="false" name="Wh_Serv" vbProcedure="false">Assm!$J$15</definedName>
    <definedName function="false" hidden="false" name="X_Perc" vbProcedure="false">#REF!</definedName>
    <definedName function="false" hidden="false" name="X_Year" vbProcedure="false">#REF!</definedName>
    <definedName function="false" hidden="false" localSheetId="11" name="CT_COMFEE" vbProcedure="false">Sudam!$A$1:$Y$45</definedName>
    <definedName function="false" hidden="false" localSheetId="22" name="Dec_Change" vbProcedure="false">Escalation!$G$13:$K$288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86" authorId="0">
      <text>
        <r>
          <rPr>
            <b val="true"/>
            <sz val="8"/>
            <color rgb="FF000000"/>
            <rFont val="Tahoma"/>
            <family val="0"/>
          </rPr>
          <t xml:space="preserve">D Carneiro:
</t>
        </r>
        <r>
          <rPr>
            <sz val="8"/>
            <color rgb="FF000000"/>
            <rFont val="Tahoma"/>
            <family val="0"/>
          </rPr>
          <t xml:space="preserve">Does not include servicing of Sub Debt which is being treated as additional equity contributions from partners.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84</xdr:row>
                <xdr:rowOff>8</xdr:rowOff>
              </xdr:from>
              <xdr:to>
                <xdr:col>6</xdr:col>
                <xdr:colOff>74</xdr:colOff>
                <xdr:row>93</xdr:row>
                <xdr:rowOff>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R18" authorId="0">
      <text>
        <r>
          <rPr>
            <b val="true"/>
            <sz val="8"/>
            <color rgb="FF000000"/>
            <rFont val="Tahoma"/>
            <family val="0"/>
          </rPr>
          <t xml:space="preserve">Robert Sammon:
</t>
        </r>
        <r>
          <rPr>
            <sz val="8"/>
            <color rgb="FF000000"/>
            <rFont val="Tahoma"/>
            <family val="0"/>
          </rPr>
          <t xml:space="preserve">Increase Parson's per Jeremy Dawson on 2/16/2000.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16</xdr:row>
                <xdr:rowOff>7</xdr:rowOff>
              </xdr:from>
              <xdr:to>
                <xdr:col>19</xdr:col>
                <xdr:colOff>126</xdr:colOff>
                <xdr:row>20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<sst xmlns="http://schemas.openxmlformats.org/spreadsheetml/2006/main" count="2005" uniqueCount="1139">
  <si>
    <t xml:space="preserve">GASOCIDENTE DO MATO GROSSO LTDA (GASMAT)</t>
  </si>
  <si>
    <t xml:space="preserve">ENRON INTERNATIONAL</t>
  </si>
  <si>
    <t xml:space="preserve">*** DRAFT COPY ***</t>
  </si>
  <si>
    <t xml:space="preserve">Table Of Contents</t>
  </si>
  <si>
    <t xml:space="preserve">Page #</t>
  </si>
  <si>
    <t xml:space="preserve">Assumptions</t>
  </si>
  <si>
    <t xml:space="preserve">Cash Flow</t>
  </si>
  <si>
    <t xml:space="preserve">2</t>
  </si>
  <si>
    <t xml:space="preserve">Project / Partner Returns</t>
  </si>
  <si>
    <t xml:space="preserve">3</t>
  </si>
  <si>
    <t xml:space="preserve">Enron Book Income</t>
  </si>
  <si>
    <t xml:space="preserve">4</t>
  </si>
  <si>
    <t xml:space="preserve">Political Risk / DSCR Calculations</t>
  </si>
  <si>
    <t xml:space="preserve">5</t>
  </si>
  <si>
    <t xml:space="preserve">Trapped Cash / Partner Loans / Capital Budget</t>
  </si>
  <si>
    <t xml:space="preserve">6</t>
  </si>
  <si>
    <t xml:space="preserve">Turnkey Components &amp; Construction Taxes</t>
  </si>
  <si>
    <t xml:space="preserve">7</t>
  </si>
  <si>
    <t xml:space="preserve">Drawdown Schedule</t>
  </si>
  <si>
    <t xml:space="preserve">8</t>
  </si>
  <si>
    <t xml:space="preserve">Interest During Construction</t>
  </si>
  <si>
    <t xml:space="preserve">9</t>
  </si>
  <si>
    <t xml:space="preserve">Debt Amortization</t>
  </si>
  <si>
    <t xml:space="preserve">10</t>
  </si>
  <si>
    <t xml:space="preserve">Sudam Tax Credits</t>
  </si>
  <si>
    <t xml:space="preserve">11</t>
  </si>
  <si>
    <t xml:space="preserve">Cash &amp; Book Taxes, INE Calculation</t>
  </si>
  <si>
    <t xml:space="preserve">12</t>
  </si>
  <si>
    <t xml:space="preserve">Depreciation</t>
  </si>
  <si>
    <t xml:space="preserve">13</t>
  </si>
  <si>
    <t xml:space="preserve">Project Financial Statements</t>
  </si>
  <si>
    <t xml:space="preserve">14</t>
  </si>
  <si>
    <t xml:space="preserve">Reference Sheets</t>
  </si>
  <si>
    <t xml:space="preserve">15-19</t>
  </si>
  <si>
    <t xml:space="preserve">Appendix I - Transporation Revenues</t>
  </si>
  <si>
    <t xml:space="preserve">ASSUMPTIONS</t>
  </si>
  <si>
    <t xml:space="preserve">                                                                                       </t>
  </si>
  <si>
    <t xml:space="preserve">Pipeline Data</t>
  </si>
  <si>
    <t xml:space="preserve">Brazilian Taxes</t>
  </si>
  <si>
    <t xml:space="preserve">Project Structure:</t>
  </si>
  <si>
    <t xml:space="preserve">Limitada</t>
  </si>
  <si>
    <t xml:space="preserve">Project Costs ($000)</t>
  </si>
  <si>
    <t xml:space="preserve">Total</t>
  </si>
  <si>
    <t xml:space="preserve">Project Financing ($000)</t>
  </si>
  <si>
    <t xml:space="preserve">Model Convergence</t>
  </si>
  <si>
    <t xml:space="preserve">Values</t>
  </si>
  <si>
    <t xml:space="preserve">Inputs</t>
  </si>
  <si>
    <t xml:space="preserve">Difference</t>
  </si>
  <si>
    <t xml:space="preserve">Pipeline Length - Brazil</t>
  </si>
  <si>
    <t xml:space="preserve">Kilometers</t>
  </si>
  <si>
    <t xml:space="preserve">Operating Taxes</t>
  </si>
  <si>
    <t xml:space="preserve">EPC Turnkey Contract</t>
  </si>
  <si>
    <t xml:space="preserve">Size of Pipe</t>
  </si>
  <si>
    <t xml:space="preserve">Inches</t>
  </si>
  <si>
    <t xml:space="preserve">Corporate Income Tax</t>
  </si>
  <si>
    <t xml:space="preserve">Of Taxable Income</t>
  </si>
  <si>
    <t xml:space="preserve">Approved Change Orders</t>
  </si>
  <si>
    <t xml:space="preserve">Tranche 1: MLA - OPIC</t>
  </si>
  <si>
    <t xml:space="preserve">Project Costs</t>
  </si>
  <si>
    <t xml:space="preserve">Additional Income Tax</t>
  </si>
  <si>
    <t xml:space="preserve">Income Over R$</t>
  </si>
  <si>
    <t xml:space="preserve">Pending Change Orders</t>
  </si>
  <si>
    <t xml:space="preserve">Amount</t>
  </si>
  <si>
    <t xml:space="preserve">IDC</t>
  </si>
  <si>
    <t xml:space="preserve">Project Operations</t>
  </si>
  <si>
    <t xml:space="preserve">Social Contribution Tax</t>
  </si>
  <si>
    <t xml:space="preserve">On Taxaable Income</t>
  </si>
  <si>
    <t xml:space="preserve">Other Change Orders</t>
  </si>
  <si>
    <t xml:space="preserve">Loan Amortization (1=S/L, 2=MTG, 3=Custom)</t>
  </si>
  <si>
    <t xml:space="preserve">W/H Tax - IDC</t>
  </si>
  <si>
    <t xml:space="preserve">Start Of Construction</t>
  </si>
  <si>
    <r>
      <rPr>
        <sz val="10"/>
        <rFont val="Arial"/>
        <family val="2"/>
      </rPr>
      <t xml:space="preserve">NOL </t>
    </r>
    <r>
      <rPr>
        <i val="true"/>
        <sz val="8"/>
        <rFont val="Arial"/>
        <family val="2"/>
      </rPr>
      <t xml:space="preserve">(Unlimited Carryforward, No Carryback) - Capped @</t>
    </r>
  </si>
  <si>
    <t xml:space="preserve">Of Taxable Income </t>
  </si>
  <si>
    <t xml:space="preserve">Onshore Payment Adjustment</t>
  </si>
  <si>
    <t xml:space="preserve">Term (Years) - Post Closing</t>
  </si>
  <si>
    <t xml:space="preserve"># Of Debt Service Pmts</t>
  </si>
  <si>
    <t xml:space="preserve">Loop Factor</t>
  </si>
  <si>
    <t xml:space="preserve">Commitment Fee</t>
  </si>
  <si>
    <t xml:space="preserve">Pipeline Notice To Proceed (NTP)</t>
  </si>
  <si>
    <t xml:space="preserve">W/H Tax - Dividends (Non-Residents)</t>
  </si>
  <si>
    <t xml:space="preserve">Income Earned After 1/1/96 Exempt</t>
  </si>
  <si>
    <r>
      <rPr>
        <sz val="10"/>
        <rFont val="Arial"/>
        <family val="2"/>
      </rPr>
      <t xml:space="preserve">Turnkey Tax Adjustment </t>
    </r>
    <r>
      <rPr>
        <i val="true"/>
        <sz val="9"/>
        <rFont val="Arial"/>
        <family val="2"/>
      </rPr>
      <t xml:space="preserve">(0=Off, 1=On)</t>
    </r>
  </si>
  <si>
    <t xml:space="preserve">Grace (Periods) - Post Closing</t>
  </si>
  <si>
    <t xml:space="preserve">Grace - Post Phase III</t>
  </si>
  <si>
    <t xml:space="preserve">Upfront Fee</t>
  </si>
  <si>
    <t xml:space="preserve">Pipeline Ready For Service (RFS)</t>
  </si>
  <si>
    <t xml:space="preserve">W/H Tax - Interest (Non-MLA's)</t>
  </si>
  <si>
    <t xml:space="preserve">Gross Up For Interest Payments</t>
  </si>
  <si>
    <t xml:space="preserve">Total Turnkey Construction</t>
  </si>
  <si>
    <t xml:space="preserve">Average Life Of Loan (Years)</t>
  </si>
  <si>
    <t xml:space="preserve">Months Of Construction</t>
  </si>
  <si>
    <t xml:space="preserve">W/H Tax - Interest (Non-MLA's)/ Cayman Islands</t>
  </si>
  <si>
    <t xml:space="preserve">Interest Paid To Tax Haven Such AS Cayman Islands</t>
  </si>
  <si>
    <t xml:space="preserve">Interest Rate / Spread</t>
  </si>
  <si>
    <t xml:space="preserve">Total Convergence Variance</t>
  </si>
  <si>
    <t xml:space="preserve">Start Date (Phase II - Power Plant)</t>
  </si>
  <si>
    <t xml:space="preserve">W/H Tax On Services (Non-Residents)</t>
  </si>
  <si>
    <t xml:space="preserve">Grossed Up At Project Level</t>
  </si>
  <si>
    <t xml:space="preserve">Linefill</t>
  </si>
  <si>
    <t xml:space="preserve">Start Date (Phase III - Power Plant)</t>
  </si>
  <si>
    <t xml:space="preserve">PIS - Social Contribution</t>
  </si>
  <si>
    <t xml:space="preserve">On Gross Turnover</t>
  </si>
  <si>
    <t xml:space="preserve">Land &amp; Rights Of Way</t>
  </si>
  <si>
    <t xml:space="preserve">End Of Operations - Cuiaba I</t>
  </si>
  <si>
    <t xml:space="preserve">COFINS - Social Contribution</t>
  </si>
  <si>
    <t xml:space="preserve">Consulting Fees</t>
  </si>
  <si>
    <t xml:space="preserve">+W/H Taxes Of</t>
  </si>
  <si>
    <t xml:space="preserve">Tranche 2: KFW (Uncovered Loan)</t>
  </si>
  <si>
    <t xml:space="preserve">Term Of Contract (Yrs)</t>
  </si>
  <si>
    <t xml:space="preserve">Payroll Tax</t>
  </si>
  <si>
    <t xml:space="preserve">On Payroll (Included In O&amp;M)</t>
  </si>
  <si>
    <t xml:space="preserve">Owner's Engineer (Parsons)</t>
  </si>
  <si>
    <t xml:space="preserve">Project Type</t>
  </si>
  <si>
    <t xml:space="preserve">BOO</t>
  </si>
  <si>
    <t xml:space="preserve">Severence Fund</t>
  </si>
  <si>
    <t xml:space="preserve">Other Engineering Costs</t>
  </si>
  <si>
    <t xml:space="preserve">Education Fund</t>
  </si>
  <si>
    <t xml:space="preserve">Environmental &amp; Permitting</t>
  </si>
  <si>
    <t xml:space="preserve">Financial Closing</t>
  </si>
  <si>
    <t xml:space="preserve">ICMS - Fuel Purchases</t>
  </si>
  <si>
    <t xml:space="preserve">Exempt</t>
  </si>
  <si>
    <t xml:space="preserve">Ingidenous People Programs</t>
  </si>
  <si>
    <t xml:space="preserve">Date Of Financial Close</t>
  </si>
  <si>
    <t xml:space="preserve">ICMS - Transportation</t>
  </si>
  <si>
    <t xml:space="preserve">Total Other Construction</t>
  </si>
  <si>
    <t xml:space="preserve">NTP To Financial Close  (Mos)</t>
  </si>
  <si>
    <t xml:space="preserve">ISS - Services Rendered Tax</t>
  </si>
  <si>
    <t xml:space="preserve">Avg Between 2%-5% (Exempt)</t>
  </si>
  <si>
    <t xml:space="preserve">Months (Post Power Plant Phase III) Until 1st Debt Service</t>
  </si>
  <si>
    <t xml:space="preserve">Customs Duties</t>
  </si>
  <si>
    <t xml:space="preserve">Interest During Construction "IDC" </t>
  </si>
  <si>
    <t xml:space="preserve">First Debt Service Payment</t>
  </si>
  <si>
    <t xml:space="preserve">ICMS - Equipment</t>
  </si>
  <si>
    <t xml:space="preserve">Included In Turnkey</t>
  </si>
  <si>
    <t xml:space="preserve">W/H Tax - IDC (Shareholder Construction Loan)</t>
  </si>
  <si>
    <t xml:space="preserve">Import Duties</t>
  </si>
  <si>
    <t xml:space="preserve">Tranche 3: </t>
  </si>
  <si>
    <t xml:space="preserve">Transport Charges</t>
  </si>
  <si>
    <t xml:space="preserve">IPI - Industrial Products Tax</t>
  </si>
  <si>
    <t xml:space="preserve">Escalation</t>
  </si>
  <si>
    <t xml:space="preserve">Financing Costs (Borrower And Lender)</t>
  </si>
  <si>
    <t xml:space="preserve">Capacity Charge</t>
  </si>
  <si>
    <t xml:space="preserve">$ / MMBTU</t>
  </si>
  <si>
    <t xml:space="preserve">Greater Of CPI Or 1.005</t>
  </si>
  <si>
    <t xml:space="preserve">(0 = Off, 1 = On)</t>
  </si>
  <si>
    <t xml:space="preserve">Financing Costs (Other)</t>
  </si>
  <si>
    <t xml:space="preserve">Variable Charge</t>
  </si>
  <si>
    <t xml:space="preserve">Credits Held In A Reserve (Non Distributable As Dividends, Only As Trapped Cash Loans)</t>
  </si>
  <si>
    <t xml:space="preserve">3rd Party Legal Fees</t>
  </si>
  <si>
    <t xml:space="preserve">Reserve Can Be Used Against Net Losses (Forward &amp; Backward)</t>
  </si>
  <si>
    <t xml:space="preserve">Construction Insurance</t>
  </si>
  <si>
    <t xml:space="preserve">Firm Service TOP</t>
  </si>
  <si>
    <t xml:space="preserve">Start Date</t>
  </si>
  <si>
    <t xml:space="preserve">Credit Available = Tax Rate X Operating Income Reduced By Below %</t>
  </si>
  <si>
    <t xml:space="preserve">Total 3rd Party Dev / Financing Costs</t>
  </si>
  <si>
    <t xml:space="preserve">Outage</t>
  </si>
  <si>
    <t xml:space="preserve">Average</t>
  </si>
  <si>
    <t xml:space="preserve">Final Year Of Tax Credits ==&gt;</t>
  </si>
  <si>
    <t xml:space="preserve">MAXDTQ</t>
  </si>
  <si>
    <t xml:space="preserve">Days</t>
  </si>
  <si>
    <t xml:space="preserve">TOP%</t>
  </si>
  <si>
    <t xml:space="preserve">TOP Vol</t>
  </si>
  <si>
    <t xml:space="preserve">Development Costs</t>
  </si>
  <si>
    <t xml:space="preserve">Tax Period Starting In Year</t>
  </si>
  <si>
    <t xml:space="preserve">Development Fee</t>
  </si>
  <si>
    <t xml:space="preserve">Tranche 4:</t>
  </si>
  <si>
    <t xml:space="preserve">Tax Credit Rate Applicable</t>
  </si>
  <si>
    <t xml:space="preserve">Operations Mobilization</t>
  </si>
  <si>
    <t xml:space="preserve">Operating Expenses ($000)</t>
  </si>
  <si>
    <t xml:space="preserve">Escalation Rate: </t>
  </si>
  <si>
    <t xml:space="preserve">CPI Annual</t>
  </si>
  <si>
    <t xml:space="preserve">Total Development Costs / Fees</t>
  </si>
  <si>
    <t xml:space="preserve">US Taxes</t>
  </si>
  <si>
    <t xml:space="preserve">Fixed:</t>
  </si>
  <si>
    <t xml:space="preserve">Tax Position</t>
  </si>
  <si>
    <t xml:space="preserve">Deferral</t>
  </si>
  <si>
    <t xml:space="preserve">Working Capital </t>
  </si>
  <si>
    <t xml:space="preserve">Funded By 1999 And 2000 Operating Cash</t>
  </si>
  <si>
    <t xml:space="preserve">Salaries &amp; Benefits</t>
  </si>
  <si>
    <t xml:space="preserve">Federal Income Tax</t>
  </si>
  <si>
    <t xml:space="preserve">Total Other Costs</t>
  </si>
  <si>
    <t xml:space="preserve">Administrative Expenses - General</t>
  </si>
  <si>
    <t xml:space="preserve">Administrative Expenses - Transredes</t>
  </si>
  <si>
    <t xml:space="preserve">Depreciation Assumptions</t>
  </si>
  <si>
    <t xml:space="preserve">Basis ($000)</t>
  </si>
  <si>
    <t xml:space="preserve">Life (Yrs)</t>
  </si>
  <si>
    <t xml:space="preserve">Method</t>
  </si>
  <si>
    <t xml:space="preserve">Contingency - Change Orders</t>
  </si>
  <si>
    <t xml:space="preserve">Equipment Rental</t>
  </si>
  <si>
    <t xml:space="preserve">(Years 5 &amp; 15)</t>
  </si>
  <si>
    <t xml:space="preserve">Contingency</t>
  </si>
  <si>
    <t xml:space="preserve">Other O&amp;M Expenses</t>
  </si>
  <si>
    <t xml:space="preserve">(Years 3 , 6 , 9, 12 , 15 &amp; 18)</t>
  </si>
  <si>
    <t xml:space="preserve">Tax</t>
  </si>
  <si>
    <t xml:space="preserve">S/L</t>
  </si>
  <si>
    <t xml:space="preserve">Total Contingency</t>
  </si>
  <si>
    <t xml:space="preserve">Tranche 5:</t>
  </si>
  <si>
    <t xml:space="preserve">Gas Loss</t>
  </si>
  <si>
    <t xml:space="preserve">Book</t>
  </si>
  <si>
    <t xml:space="preserve">Technical Services Fee</t>
  </si>
  <si>
    <t xml:space="preserve">GAAP</t>
  </si>
  <si>
    <t xml:space="preserve">Total Project Costs</t>
  </si>
  <si>
    <r>
      <rPr>
        <sz val="10"/>
        <rFont val="Arial"/>
        <family val="2"/>
      </rPr>
      <t xml:space="preserve">Capital Budget Expenses </t>
    </r>
    <r>
      <rPr>
        <i val="true"/>
        <sz val="9"/>
        <rFont val="Arial"/>
        <family val="2"/>
      </rPr>
      <t xml:space="preserve">(See Trapped Cash Sheet)</t>
    </r>
  </si>
  <si>
    <t xml:space="preserve">Total Project Costs ($/MCM/Day)</t>
  </si>
  <si>
    <t xml:space="preserve">Operating Insurance</t>
  </si>
  <si>
    <t xml:space="preserve">Trapped Cash</t>
  </si>
  <si>
    <t xml:space="preserve">Total Operating Expenses</t>
  </si>
  <si>
    <t xml:space="preserve">Distributions Limited To Retained Earnings</t>
  </si>
  <si>
    <t xml:space="preserve">Project &amp; Enron Economics ($000)</t>
  </si>
  <si>
    <t xml:space="preserve">Apply Capital Reductions Of Excess Cash (0=No, 1=Yes)</t>
  </si>
  <si>
    <t xml:space="preserve">Disc Rate</t>
  </si>
  <si>
    <t xml:space="preserve">IRR</t>
  </si>
  <si>
    <t xml:space="preserve">NPV</t>
  </si>
  <si>
    <t xml:space="preserve">TBS Transport Option ($000)</t>
  </si>
  <si>
    <t xml:space="preserve">Option Paid By TBS To GasMat To Expand Pipeline</t>
  </si>
  <si>
    <t xml:space="preserve">Trapped Cash Loans To Partners (0=No, 1=Yes)</t>
  </si>
  <si>
    <t xml:space="preserve">Project</t>
  </si>
  <si>
    <t xml:space="preserve">Facilities From 102,990 To 182,540 MMBTU/Day</t>
  </si>
  <si>
    <t xml:space="preserve">Capital Reduction In Final Year To Liquidate Partner Loans</t>
  </si>
  <si>
    <t xml:space="preserve">Target IRR</t>
  </si>
  <si>
    <t xml:space="preserve">Tranche 6: Subordinated Debt</t>
  </si>
  <si>
    <t xml:space="preserve">Option Scenario (0=Off, 1=On)</t>
  </si>
  <si>
    <t xml:space="preserve">Year Of Option Payment</t>
  </si>
  <si>
    <t xml:space="preserve">Interest Income To Project On Trapped Cash Loans</t>
  </si>
  <si>
    <t xml:space="preserve">Option Amount</t>
  </si>
  <si>
    <t xml:space="preserve">Interest Expense To Shareholders On Trapped Cash Loans</t>
  </si>
  <si>
    <t xml:space="preserve">Exchange Rate</t>
  </si>
  <si>
    <t xml:space="preserve">Bid Date Exchange Rate</t>
  </si>
  <si>
    <t xml:space="preserve">TOTAL PARTNERS</t>
  </si>
  <si>
    <t xml:space="preserve">Units Used</t>
  </si>
  <si>
    <t xml:space="preserve">Apply Devaluation To Model</t>
  </si>
  <si>
    <t xml:space="preserve">Conversion Of MCM To MMBTU</t>
  </si>
  <si>
    <t xml:space="preserve">1 CM = </t>
  </si>
  <si>
    <t xml:space="preserve">Kcal</t>
  </si>
  <si>
    <t xml:space="preserve">Plus: Withholding Tax On Dividends</t>
  </si>
  <si>
    <t xml:space="preserve">(1)</t>
  </si>
  <si>
    <t xml:space="preserve">1 Kcal =</t>
  </si>
  <si>
    <t xml:space="preserve">BTU</t>
  </si>
  <si>
    <t xml:space="preserve">Escalators</t>
  </si>
  <si>
    <t xml:space="preserve">Less: Withholding Tax On INE Dividends</t>
  </si>
  <si>
    <t xml:space="preserve">1 MMCM = </t>
  </si>
  <si>
    <t xml:space="preserve">MMBTU</t>
  </si>
  <si>
    <t xml:space="preserve">Use 09/04/98 Curves used for Bank Models (0=No, 1=Yes)</t>
  </si>
  <si>
    <t xml:space="preserve">Plus:  Political Risk Insurance</t>
  </si>
  <si>
    <t xml:space="preserve">Plus: Interest Expense On Trapped Cash Loans</t>
  </si>
  <si>
    <t xml:space="preserve">Interest On Net Equity (INE)</t>
  </si>
  <si>
    <t xml:space="preserve">Less: Indemnity Fee</t>
  </si>
  <si>
    <t xml:space="preserve">Other Senior Debt Fees</t>
  </si>
  <si>
    <t xml:space="preserve">OPIC Agency Fee ($000)</t>
  </si>
  <si>
    <t xml:space="preserve">Limited To The Lesser Of</t>
  </si>
  <si>
    <t xml:space="preserve">Of Earnings Before Taxes</t>
  </si>
  <si>
    <t xml:space="preserve">Less: Withholding Tax On Indemnity Fee</t>
  </si>
  <si>
    <t xml:space="preserve">EPE Percent / Amount</t>
  </si>
  <si>
    <t xml:space="preserve">Of Total Equity For Life Of Project (TJLP)</t>
  </si>
  <si>
    <t xml:space="preserve">Less: Management Fee</t>
  </si>
  <si>
    <t xml:space="preserve">Final Year Of Payment</t>
  </si>
  <si>
    <t xml:space="preserve">Less: Development Fee</t>
  </si>
  <si>
    <t xml:space="preserve">Project Ownership </t>
  </si>
  <si>
    <t xml:space="preserve">Equity ($000)</t>
  </si>
  <si>
    <t xml:space="preserve">Equity %</t>
  </si>
  <si>
    <t xml:space="preserve">Cashflow %</t>
  </si>
  <si>
    <t xml:space="preserve">Less: Consulting Fees Paid At Enron Level</t>
  </si>
  <si>
    <t xml:space="preserve">Capital Structure ($000)</t>
  </si>
  <si>
    <t xml:space="preserve">Enron</t>
  </si>
  <si>
    <t xml:space="preserve">Less: Houston Overheads Not Included In Project Costs</t>
  </si>
  <si>
    <t xml:space="preserve">Senior Debt</t>
  </si>
  <si>
    <t xml:space="preserve">Shell</t>
  </si>
  <si>
    <t xml:space="preserve">Plus: Technical Service Fee (Transredes)</t>
  </si>
  <si>
    <t xml:space="preserve">Subordinated Debt</t>
  </si>
  <si>
    <t xml:space="preserve">Transredes</t>
  </si>
  <si>
    <t xml:space="preserve">Less:  Tax Cost / (Benefit) On (1)'s Above</t>
  </si>
  <si>
    <t xml:space="preserve">Equity</t>
  </si>
  <si>
    <t xml:space="preserve">new equity</t>
  </si>
  <si>
    <t xml:space="preserve">   Total</t>
  </si>
  <si>
    <t xml:space="preserve">Plus: Bridge Loan Amount</t>
  </si>
  <si>
    <t xml:space="preserve">Total Investment</t>
  </si>
  <si>
    <t xml:space="preserve">Less: Bridge Loan Repayment</t>
  </si>
  <si>
    <t xml:space="preserve">Maximum Life Of Financing (Years)</t>
  </si>
  <si>
    <t xml:space="preserve">Division Of Project Fees</t>
  </si>
  <si>
    <t xml:space="preserve">Less: Bridge Loan Interest Income</t>
  </si>
  <si>
    <t xml:space="preserve">(2)</t>
  </si>
  <si>
    <t xml:space="preserve">Weighted Average Rate / Spread</t>
  </si>
  <si>
    <t xml:space="preserve">Plus Bridge Loan Political Risk Insurance</t>
  </si>
  <si>
    <t xml:space="preserve">Weighted Average Financing Fee</t>
  </si>
  <si>
    <t xml:space="preserve">Less:  Tax Cost / (Benefit) On (2)'s Above</t>
  </si>
  <si>
    <t xml:space="preserve">Weighted Average Commitment Fee</t>
  </si>
  <si>
    <t xml:space="preserve">Sub-total Partner Level Adjustments</t>
  </si>
  <si>
    <t xml:space="preserve">Political Risk Insurance</t>
  </si>
  <si>
    <t xml:space="preserve">DS Coverage Ratios</t>
  </si>
  <si>
    <t xml:space="preserve">Pre-Tax</t>
  </si>
  <si>
    <t xml:space="preserve">After-Tax</t>
  </si>
  <si>
    <t xml:space="preserve">A-T Target</t>
  </si>
  <si>
    <t xml:space="preserve">Book Earnings Method</t>
  </si>
  <si>
    <t xml:space="preserve">Partner Level Only</t>
  </si>
  <si>
    <t xml:space="preserve">Reconciled Project NPV</t>
  </si>
  <si>
    <t xml:space="preserve">Minimum</t>
  </si>
  <si>
    <t xml:space="preserve">Unallocated Difference</t>
  </si>
  <si>
    <t xml:space="preserve">Terminal Value</t>
  </si>
  <si>
    <t xml:space="preserve">Include In Valuation</t>
  </si>
  <si>
    <t xml:space="preserve">Final Year EBITDA</t>
  </si>
  <si>
    <t xml:space="preserve">Enron Book Income ($000)</t>
  </si>
  <si>
    <t xml:space="preserve">Debt Reserve</t>
  </si>
  <si>
    <t xml:space="preserve">Service To Be Provided By</t>
  </si>
  <si>
    <t xml:space="preserve">Dresdner Bank</t>
  </si>
  <si>
    <t xml:space="preserve">Months In Final Year Of Service</t>
  </si>
  <si>
    <t xml:space="preserve">Consulting Fees Above $4,000 Cap</t>
  </si>
  <si>
    <t xml:space="preserve">Months Of Debt Service Required</t>
  </si>
  <si>
    <t xml:space="preserve">Adjusted Final Year EBITDA</t>
  </si>
  <si>
    <t xml:space="preserve">Houston Overheads Not Included In Project Costs</t>
  </si>
  <si>
    <t xml:space="preserve">L/C Fee p.a.</t>
  </si>
  <si>
    <t xml:space="preserve">EBITDA Multiple</t>
  </si>
  <si>
    <t xml:space="preserve">Shareholder Constr Loan</t>
  </si>
  <si>
    <t xml:space="preserve">After Initial Equity &amp; Before Permanent Financing</t>
  </si>
  <si>
    <t xml:space="preserve">Interest Rate</t>
  </si>
  <si>
    <t xml:space="preserve">Enron Cost Of Funds</t>
  </si>
  <si>
    <t xml:space="preserve">Leverage Option</t>
  </si>
  <si>
    <t xml:space="preserve">Valuation Assumption</t>
  </si>
  <si>
    <t xml:space="preserve">Assume Principal Repayment (Keep Original Level Of Leverage)</t>
  </si>
  <si>
    <t xml:space="preserve">INCOME STATEMENT - CASH FLOW ($000)</t>
  </si>
  <si>
    <t xml:space="preserve">Offset For</t>
  </si>
  <si>
    <t xml:space="preserve">Contract Year</t>
  </si>
  <si>
    <t xml:space="preserve">"CF_Table"</t>
  </si>
  <si>
    <t xml:space="preserve">Calendar Year</t>
  </si>
  <si>
    <t xml:space="preserve">Totals</t>
  </si>
  <si>
    <t xml:space="preserve">Months Of Operation </t>
  </si>
  <si>
    <t xml:space="preserve">Escalation Factor - Fixed Transportation</t>
  </si>
  <si>
    <t xml:space="preserve">Escalation Factor - Operating Expenses</t>
  </si>
  <si>
    <t xml:space="preserve">Brazilian Exchange Rate</t>
  </si>
  <si>
    <t xml:space="preserve">Revenues</t>
  </si>
  <si>
    <t xml:space="preserve">Transportation Payments</t>
  </si>
  <si>
    <t xml:space="preserve">Transportation Revenues</t>
  </si>
  <si>
    <t xml:space="preserve">Total Revenues (Billed To TBS)</t>
  </si>
  <si>
    <t xml:space="preserve">Expenses</t>
  </si>
  <si>
    <t xml:space="preserve">Operation &amp; Maintenance</t>
  </si>
  <si>
    <t xml:space="preserve">Total O&amp;M </t>
  </si>
  <si>
    <t xml:space="preserve">WH Tax On Offshore Service (1)'s - Grossed Up</t>
  </si>
  <si>
    <r>
      <rPr>
        <sz val="10"/>
        <rFont val="Arial"/>
        <family val="2"/>
      </rPr>
      <t xml:space="preserve">PIS/COFINS </t>
    </r>
    <r>
      <rPr>
        <i val="true"/>
        <sz val="9"/>
        <color rgb="FFFF0000"/>
        <rFont val="Arial"/>
        <family val="2"/>
      </rPr>
      <t xml:space="preserve">(Calc'd On Total O&amp;M + W/H Tax)</t>
    </r>
  </si>
  <si>
    <t xml:space="preserve">Total Operating Expenses Including Taxes</t>
  </si>
  <si>
    <t xml:space="preserve">Other Income/(Expenses)</t>
  </si>
  <si>
    <t xml:space="preserve">Plus: Interest Income - Partner / Shareholder Loans</t>
  </si>
  <si>
    <t xml:space="preserve">Plus: Transport Option Payment From TBS</t>
  </si>
  <si>
    <r>
      <rPr>
        <b val="true"/>
        <sz val="10"/>
        <rFont val="Arial"/>
        <family val="2"/>
      </rPr>
      <t xml:space="preserve">Less: OPIC Agency Fee + </t>
    </r>
    <r>
      <rPr>
        <b val="true"/>
        <sz val="10"/>
        <color rgb="FFFF00FF"/>
        <rFont val="arial"/>
        <family val="2"/>
      </rPr>
      <t xml:space="preserve">Loan Guarantee Fee</t>
    </r>
  </si>
  <si>
    <t xml:space="preserve">Less: L/C Fee - Debt Service</t>
  </si>
  <si>
    <t xml:space="preserve">Total Other Income / (Expenses)</t>
  </si>
  <si>
    <t xml:space="preserve">Earnings Before Depr, Int &amp; Taxes (EBDIT)</t>
  </si>
  <si>
    <t xml:space="preserve">Less: Book Depreciation Expense</t>
  </si>
  <si>
    <t xml:space="preserve">Earnings Before Int &amp; Taxes (EBIT)</t>
  </si>
  <si>
    <t xml:space="preserve">Less: Interest Expense - Senior Debt</t>
  </si>
  <si>
    <t xml:space="preserve">Less: Interest Expense - Subordinated Debt</t>
  </si>
  <si>
    <t xml:space="preserve">Less: IDC To Be Expensed</t>
  </si>
  <si>
    <t xml:space="preserve">Earnings Before Interest On Net Equity (INE) &amp; Taxes</t>
  </si>
  <si>
    <t xml:space="preserve">Less: Interest On Net Equity (INE)</t>
  </si>
  <si>
    <t xml:space="preserve">Earnings Before Taxes (EBT)</t>
  </si>
  <si>
    <t xml:space="preserve">Less: Book Provision For Income Taxes</t>
  </si>
  <si>
    <t xml:space="preserve">Earnings Before Sudam Credits</t>
  </si>
  <si>
    <t xml:space="preserve">Add: Sudam Credits Applied Against Losses</t>
  </si>
  <si>
    <t xml:space="preserve">PROJECT BOOK INCOME</t>
  </si>
  <si>
    <t xml:space="preserve">Plus: Book Depreciation</t>
  </si>
  <si>
    <t xml:space="preserve">Plus: IDC To Be Expensed</t>
  </si>
  <si>
    <t xml:space="preserve">Plus: Book Provision For Income Taxes</t>
  </si>
  <si>
    <t xml:space="preserve">Less: Sudam Credits Applied Against Losses</t>
  </si>
  <si>
    <t xml:space="preserve">Less: Cash Taxes</t>
  </si>
  <si>
    <t xml:space="preserve">Less: Principal Payments - Senior Debt</t>
  </si>
  <si>
    <t xml:space="preserve">NET A-T CASH FLOW BEFORE SUBORDINATED DEBT REPAYMENT</t>
  </si>
  <si>
    <t xml:space="preserve">Less: Principal Payments - Subordinated Debt</t>
  </si>
  <si>
    <t xml:space="preserve">NET A-T CASH FLOW BEFORE TRAPPED CASH</t>
  </si>
  <si>
    <t xml:space="preserve">Trapped Cash Loaned To Partners</t>
  </si>
  <si>
    <t xml:space="preserve">Repayment Of Prior Year Trapped Cash Loans</t>
  </si>
  <si>
    <t xml:space="preserve">NET A-T CASH FLOW DISTRIBUTED</t>
  </si>
  <si>
    <t xml:space="preserve">PROJECT &amp; PARTNER RETURNS ($000)</t>
  </si>
  <si>
    <t xml:space="preserve">Recon</t>
  </si>
  <si>
    <t xml:space="preserve">Project Returns</t>
  </si>
  <si>
    <t xml:space="preserve">Equity Injection</t>
  </si>
  <si>
    <t xml:space="preserve">Net A-T Cash Flow Distributed</t>
  </si>
  <si>
    <t xml:space="preserve">Plus: INE Dividend Income</t>
  </si>
  <si>
    <t xml:space="preserve">Less: W/H Tax On INE Dividend Income</t>
  </si>
  <si>
    <t xml:space="preserve">Plus: Trapped / (Recovered) Cash</t>
  </si>
  <si>
    <t xml:space="preserve">Plus: Terminal Value</t>
  </si>
  <si>
    <t xml:space="preserve">Total Cash Flow</t>
  </si>
  <si>
    <t xml:space="preserve">20 Year Running NPV</t>
  </si>
  <si>
    <t xml:space="preserve">20 Year Running IRR</t>
  </si>
  <si>
    <t xml:space="preserve">Project IRR w/o TC</t>
  </si>
  <si>
    <t xml:space="preserve">Discounted Payback Year</t>
  </si>
  <si>
    <t xml:space="preserve">Enron Returns</t>
  </si>
  <si>
    <t xml:space="preserve">Less: Withholding Tax - Dividends</t>
  </si>
  <si>
    <t xml:space="preserve">Plus: Trapped Cash - Loans</t>
  </si>
  <si>
    <t xml:space="preserve">Less: Interest Expense - TC Loans</t>
  </si>
  <si>
    <t xml:space="preserve">Plus: Interest On Net Equity (INE)</t>
  </si>
  <si>
    <t xml:space="preserve">Plus: Development Fee</t>
  </si>
  <si>
    <t xml:space="preserve">Plus: Technical Service Fee</t>
  </si>
  <si>
    <t xml:space="preserve">Less: Political Risk Insurance</t>
  </si>
  <si>
    <t xml:space="preserve">Plus: Indemnity Fee</t>
  </si>
  <si>
    <t xml:space="preserve">Less: Withholding Tax - Indemnity Fee</t>
  </si>
  <si>
    <t xml:space="preserve">Less: Tax Cost / (Benefit) On (1)'s Above</t>
  </si>
  <si>
    <t xml:space="preserve">Enron IRR</t>
  </si>
  <si>
    <t xml:space="preserve">Enron Discounted Payback Year</t>
  </si>
  <si>
    <t xml:space="preserve">Cashflow Before Bridge Loan</t>
  </si>
  <si>
    <t xml:space="preserve">Bridge Loan Amount</t>
  </si>
  <si>
    <t xml:space="preserve">Bridge Loan Repayment</t>
  </si>
  <si>
    <t xml:space="preserve">Plus: Interest Income - Bridge Loan</t>
  </si>
  <si>
    <t xml:space="preserve">Less: WH Tax - Bridge Loan</t>
  </si>
  <si>
    <t xml:space="preserve">Less: Political Risk Insurance - Bridge Loan</t>
  </si>
  <si>
    <t xml:space="preserve">US Tax (Cost) / Benefit (2)'s Above</t>
  </si>
  <si>
    <t xml:space="preserve">Total Cash Flow w/ Bridge Loan</t>
  </si>
  <si>
    <t xml:space="preserve">Enron IRR (w/ Bridge Loan)</t>
  </si>
  <si>
    <t xml:space="preserve">Cashflow Before Subordinated Debt</t>
  </si>
  <si>
    <t xml:space="preserve">Subordinated Debt Amount</t>
  </si>
  <si>
    <t xml:space="preserve">Subordinated Debt Repayment</t>
  </si>
  <si>
    <t xml:space="preserve">Plus: Interest Income - Subordinated Debt</t>
  </si>
  <si>
    <t xml:space="preserve">Less: WH Tax - Subordinated Debt</t>
  </si>
  <si>
    <t xml:space="preserve">Less: Political Risk Insurance - Subordinated Debt</t>
  </si>
  <si>
    <t xml:space="preserve">Total Cash Flow w/ Subordinated Debt</t>
  </si>
  <si>
    <t xml:space="preserve">Enron IRR (w/ Subordinated Debt)</t>
  </si>
  <si>
    <t xml:space="preserve">Plus: Trapped Cash Loans</t>
  </si>
  <si>
    <t xml:space="preserve">Less: Interest Expense On Trapped Cash Loans</t>
  </si>
  <si>
    <t xml:space="preserve">Less: Tax (Cost) / Benefit On (1)'s Above</t>
  </si>
  <si>
    <t xml:space="preserve">Less: Interest Expense - Trapped Cash Loans</t>
  </si>
  <si>
    <t xml:space="preserve">Tax (Cost) / Benefit (2)'s Above</t>
  </si>
  <si>
    <t xml:space="preserve">Transredes IRR w/ Bridge Loan</t>
  </si>
  <si>
    <t xml:space="preserve">Less; WH Tax - Subordinated Debt</t>
  </si>
  <si>
    <t xml:space="preserve">Transredes IRR w/ Subordinated Debt</t>
  </si>
  <si>
    <t xml:space="preserve">ENRON BOOK INCOME ($000)</t>
  </si>
  <si>
    <t xml:space="preserve">Current Year</t>
  </si>
  <si>
    <t xml:space="preserve">Months Of Operation</t>
  </si>
  <si>
    <t xml:space="preserve">Enron Earnings From Project Income</t>
  </si>
  <si>
    <t xml:space="preserve">Project Earnings Before Depr, Int, &amp; Taxes</t>
  </si>
  <si>
    <t xml:space="preserve">Less: US GAAP Depreciation</t>
  </si>
  <si>
    <t xml:space="preserve">Project Book Income Restated To GAAP</t>
  </si>
  <si>
    <t xml:space="preserve">Times: In Counry Tax Rate (Effective Tax Rate)</t>
  </si>
  <si>
    <t xml:space="preserve">Less: In Country Tax Expense</t>
  </si>
  <si>
    <t xml:space="preserve">Project Book Income Restated To US GAAP After Tax</t>
  </si>
  <si>
    <t xml:space="preserve">Times: Enron's Ownership Percentage</t>
  </si>
  <si>
    <t xml:space="preserve">Subtotal - Enron Earnings From Project Income</t>
  </si>
  <si>
    <t xml:space="preserve">Enron Earnings From Other Income / (Expense)</t>
  </si>
  <si>
    <t xml:space="preserve">Plus: Development Fee Capitalized &amp; Amortized</t>
  </si>
  <si>
    <t xml:space="preserve">Plus: Development Fee Recognized Currently</t>
  </si>
  <si>
    <t xml:space="preserve">Less: Political Risk Ins - Enron Equity Capitalized &amp; Amort</t>
  </si>
  <si>
    <t xml:space="preserve">Less: Political Risk Ins - Enron Equity Expensed Currently</t>
  </si>
  <si>
    <t xml:space="preserve">Plus: Indemnity Fee Capitalized and Amortized</t>
  </si>
  <si>
    <t xml:space="preserve">Plus: Indemnity Fee Recognized Currently</t>
  </si>
  <si>
    <t xml:space="preserve">Less: US Tax Cost / (Benefit) On (1)'s Above</t>
  </si>
  <si>
    <t xml:space="preserve">Subtotal - Enron Earnings From Other Income / (Expense)</t>
  </si>
  <si>
    <t xml:space="preserve">Enron Earnings From Bridge Loans</t>
  </si>
  <si>
    <t xml:space="preserve">Less: US Tax (Cost) / Benefit On (2)'s Above</t>
  </si>
  <si>
    <t xml:space="preserve">Subtotal - Enron Earnings From Bridge Loans</t>
  </si>
  <si>
    <t xml:space="preserve">Enron Combined Book Income</t>
  </si>
  <si>
    <t xml:space="preserve">Subtotal - Enron's Project Book Income</t>
  </si>
  <si>
    <t xml:space="preserve">Subtotal - Other Enron Income / (Expenses)</t>
  </si>
  <si>
    <t xml:space="preserve">Subtotal - Enron Bridge  Loan</t>
  </si>
  <si>
    <t xml:space="preserve">Enron Book Income Prior To Cost Of Funds Charge</t>
  </si>
  <si>
    <t xml:space="preserve">Less: ENE Cost Of Funds Charge - Expensed Currently</t>
  </si>
  <si>
    <t xml:space="preserve">(3)</t>
  </si>
  <si>
    <t xml:space="preserve"> </t>
  </si>
  <si>
    <t xml:space="preserve">Less: ENE Cost Of Funds Charge - Capitalized &amp; Amortized</t>
  </si>
  <si>
    <t xml:space="preserve">Less: US Tax (Cost) / Benefit On (3)'s Above</t>
  </si>
  <si>
    <t xml:space="preserve">Enron Book Income Including Cost Of Funds Charge</t>
  </si>
  <si>
    <t xml:space="preserve">Memo: Cumulative Book Income (Prior To Cost Of Funds Charge)</t>
  </si>
  <si>
    <t xml:space="preserve">Memo: Cumulative Book Income (Including Cost Of Funds Charge)</t>
  </si>
  <si>
    <t xml:space="preserve">w/o COF</t>
  </si>
  <si>
    <t xml:space="preserve">w/ COF</t>
  </si>
  <si>
    <r>
      <rPr>
        <b val="true"/>
        <sz val="10"/>
        <rFont val="Arial"/>
        <family val="2"/>
      </rPr>
      <t xml:space="preserve">Enron Avg Book Income (Yrs 1-5) - </t>
    </r>
    <r>
      <rPr>
        <b val="true"/>
        <i val="true"/>
        <sz val="9"/>
        <rFont val="Arial"/>
        <family val="2"/>
      </rPr>
      <t xml:space="preserve">Comm Ops</t>
    </r>
  </si>
  <si>
    <r>
      <rPr>
        <b val="true"/>
        <sz val="10"/>
        <rFont val="Arial"/>
        <family val="2"/>
      </rPr>
      <t xml:space="preserve">Enron Avg Book Income (Project Life) - </t>
    </r>
    <r>
      <rPr>
        <b val="true"/>
        <i val="true"/>
        <sz val="9"/>
        <rFont val="Arial"/>
        <family val="2"/>
      </rPr>
      <t xml:space="preserve">Comm Ops</t>
    </r>
  </si>
  <si>
    <t xml:space="preserve">Enron Equity Payback Year On Book Income</t>
  </si>
  <si>
    <t xml:space="preserve">ENE Cost Of Funds Charge Calculation (COF)</t>
  </si>
  <si>
    <t xml:space="preserve">Cumulative Equity Used</t>
  </si>
  <si>
    <t xml:space="preserve">Less: Cumulative A-T Cashflow</t>
  </si>
  <si>
    <t xml:space="preserve">Outstanding Equity Subject To Cost Of Funds Charge</t>
  </si>
  <si>
    <t xml:space="preserve">Times: Enron Cost Of Funds Rate</t>
  </si>
  <si>
    <t xml:space="preserve">ENE Cost Of Funds Charge / (Benefit)</t>
  </si>
  <si>
    <t xml:space="preserve">Memo: Cumulative ENE Cost Of Funds Charge / (Benefit)</t>
  </si>
  <si>
    <t xml:space="preserve">POLITICAL RISK / DSCR CALCULATIONS ($000)</t>
  </si>
  <si>
    <t xml:space="preserve">Stockholder's Equity</t>
  </si>
  <si>
    <t xml:space="preserve">Beginning Balance</t>
  </si>
  <si>
    <t xml:space="preserve">Current Year Capital Stock Issued</t>
  </si>
  <si>
    <t xml:space="preserve">Current Year Earnings</t>
  </si>
  <si>
    <t xml:space="preserve">Current Year Dividends</t>
  </si>
  <si>
    <t xml:space="preserve">Ending Balance</t>
  </si>
  <si>
    <t xml:space="preserve">Political Risk Calculation - Equity @ Risk</t>
  </si>
  <si>
    <t xml:space="preserve">Total Stockholder's Equity Balance (BOY)</t>
  </si>
  <si>
    <t xml:space="preserve">Times: Enron's Ownership %</t>
  </si>
  <si>
    <t xml:space="preserve">Enron's Equity Balance (BOY)</t>
  </si>
  <si>
    <t xml:space="preserve">a</t>
  </si>
  <si>
    <t xml:space="preserve">Total Stockholder's Equity Balance (EOY)</t>
  </si>
  <si>
    <t xml:space="preserve">Enron's Equity Balance (EOY)</t>
  </si>
  <si>
    <t xml:space="preserve">b</t>
  </si>
  <si>
    <t xml:space="preserve">Max Of (a &amp; b) &gt; 0</t>
  </si>
  <si>
    <t xml:space="preserve">c</t>
  </si>
  <si>
    <t xml:space="preserve">Min Of (a &amp; b) &gt; 0</t>
  </si>
  <si>
    <t xml:space="preserve">d</t>
  </si>
  <si>
    <t xml:space="preserve">Enron @ Risk Equity [ (c x 2) + d ] / 3</t>
  </si>
  <si>
    <t xml:space="preserve">Political Risk Rate</t>
  </si>
  <si>
    <r>
      <rPr>
        <sz val="10"/>
        <rFont val="Arial"/>
        <family val="2"/>
      </rPr>
      <t xml:space="preserve">Political Risk Insurance - Enron's @Risk Equity </t>
    </r>
    <r>
      <rPr>
        <i val="true"/>
        <sz val="9"/>
        <rFont val="Arial"/>
        <family val="2"/>
      </rPr>
      <t xml:space="preserve">(Cash Payment)</t>
    </r>
  </si>
  <si>
    <t xml:space="preserve">Political Risk Calculation - Bridge Loan</t>
  </si>
  <si>
    <t xml:space="preserve">Enron Bridge Loan Balance (BOY)</t>
  </si>
  <si>
    <t xml:space="preserve">Enron Bridge Loan Balance (EOY)</t>
  </si>
  <si>
    <r>
      <rPr>
        <sz val="10"/>
        <rFont val="Arial"/>
        <family val="2"/>
      </rPr>
      <t xml:space="preserve">Political Risk Insurance - Enron Bridge Loan </t>
    </r>
    <r>
      <rPr>
        <i val="true"/>
        <sz val="9"/>
        <rFont val="Arial"/>
        <family val="2"/>
      </rPr>
      <t xml:space="preserve">(Cash Payment)</t>
    </r>
  </si>
  <si>
    <t xml:space="preserve">Political Risk Calculation - Subordinated Debt</t>
  </si>
  <si>
    <t xml:space="preserve">Enron Subordinated Debt Balance (BOY)</t>
  </si>
  <si>
    <t xml:space="preserve">Enron Subordinated Debt Balance (EOY)</t>
  </si>
  <si>
    <r>
      <rPr>
        <sz val="10"/>
        <rFont val="Arial"/>
        <family val="2"/>
      </rPr>
      <t xml:space="preserve">Political Risk Insurance - Subordinated Debt </t>
    </r>
    <r>
      <rPr>
        <i val="true"/>
        <sz val="9"/>
        <rFont val="Arial"/>
        <family val="2"/>
      </rPr>
      <t xml:space="preserve">(Cash Payment)</t>
    </r>
  </si>
  <si>
    <t xml:space="preserve">Debt Service Coverage Ratio Calculation</t>
  </si>
  <si>
    <t xml:space="preserve">Current Year Debt Service</t>
  </si>
  <si>
    <t xml:space="preserve">Pre-Tax Debt Coverage Ratio</t>
  </si>
  <si>
    <t xml:space="preserve">(EBDIT / Current Year Debt Service)</t>
  </si>
  <si>
    <t xml:space="preserve">Earnings Before Depr, Int &amp; Taxes (EBDIT) - Less Cash Taxes</t>
  </si>
  <si>
    <t xml:space="preserve">After-Tax Debt Coverage Ratio</t>
  </si>
  <si>
    <t xml:space="preserve">TRAPPED CASH, PARTNER LOANS, CAPITAL BUDGET ($000)</t>
  </si>
  <si>
    <t xml:space="preserve">"Reserve_Table"</t>
  </si>
  <si>
    <t xml:space="preserve">Retained Earnings</t>
  </si>
  <si>
    <t xml:space="preserve">Plus: Current Year Earnings</t>
  </si>
  <si>
    <t xml:space="preserve">Subtotal Available For Dividends</t>
  </si>
  <si>
    <t xml:space="preserve">Less: Current Year Dividends</t>
  </si>
  <si>
    <t xml:space="preserve">Cash (Excluding Working Capital)</t>
  </si>
  <si>
    <t xml:space="preserve">Plus: Prior Year Partner Loans Repayment</t>
  </si>
  <si>
    <t xml:space="preserve">Plus: Current Year Cashflow</t>
  </si>
  <si>
    <t xml:space="preserve">Subtotal Cashflow Available For Distribution</t>
  </si>
  <si>
    <t xml:space="preserve">Less: Current Year Capital Reductions</t>
  </si>
  <si>
    <t xml:space="preserve">Less: Current Year Partner Loans</t>
  </si>
  <si>
    <t xml:space="preserve">Beginning Trapped Cash</t>
  </si>
  <si>
    <t xml:space="preserve">Current Year Trapped Cash</t>
  </si>
  <si>
    <t xml:space="preserve">Relief Of Prior Years Trapped Cash</t>
  </si>
  <si>
    <t xml:space="preserve">Ending Trapped Cash</t>
  </si>
  <si>
    <t xml:space="preserve">Partner / Shareholder Loans</t>
  </si>
  <si>
    <t xml:space="preserve">Plus: Prior Year Trapped Cash - Loaned To Partners</t>
  </si>
  <si>
    <t xml:space="preserve">Less: Loan Repayment</t>
  </si>
  <si>
    <t xml:space="preserve">Interest Income - Partner / Shareholder Loans</t>
  </si>
  <si>
    <t xml:space="preserve">Interest Expense - Partner / Shareholder Loans</t>
  </si>
  <si>
    <t xml:space="preserve">Capital Budget Expenses</t>
  </si>
  <si>
    <t xml:space="preserve">Unescalated Capital Budget Expenses</t>
  </si>
  <si>
    <t xml:space="preserve">Sudam Tax Credit Reserve</t>
  </si>
  <si>
    <t xml:space="preserve">Beginning Reserve Balance</t>
  </si>
  <si>
    <t xml:space="preserve">Plus: Current Year Sudam Credits</t>
  </si>
  <si>
    <t xml:space="preserve">Less: Distribution Of Reserve</t>
  </si>
  <si>
    <t xml:space="preserve">Ending Reserve Balance</t>
  </si>
  <si>
    <t xml:space="preserve">Current Year Earnings Before Sudam Credits</t>
  </si>
  <si>
    <t xml:space="preserve">Cumulative Earnings Before Sudam Credits</t>
  </si>
  <si>
    <t xml:space="preserve">Cumulative Sudam Credits Available</t>
  </si>
  <si>
    <t xml:space="preserve">Sudam Credits Applied Against Losses</t>
  </si>
  <si>
    <t xml:space="preserve">Reserve For Equipment Rental (Reserve During Term Of Debt Only)</t>
  </si>
  <si>
    <t xml:space="preserve">Base Equipment Rental Costs - Unescalated</t>
  </si>
  <si>
    <t xml:space="preserve">Additional Equipment Rental Costs - Unescalated</t>
  </si>
  <si>
    <t xml:space="preserve">Total Equipment Rental Costs - Unescalated</t>
  </si>
  <si>
    <t xml:space="preserve">Escalation Factor</t>
  </si>
  <si>
    <t xml:space="preserve">Total Equipment Rental Costs - Escalated</t>
  </si>
  <si>
    <t xml:space="preserve">Expense Accrual Account</t>
  </si>
  <si>
    <t xml:space="preserve">Accrual To Cash Adjustment</t>
  </si>
  <si>
    <t xml:space="preserve">Equipment Reserve Account</t>
  </si>
  <si>
    <t xml:space="preserve">Plus: Expense Accrual</t>
  </si>
  <si>
    <t xml:space="preserve">Less: Cash Expense</t>
  </si>
  <si>
    <t xml:space="preserve">TURNKEY COMPONENTS &amp; CONSTRUCTION TAXES ($000)</t>
  </si>
  <si>
    <t xml:space="preserve">TURNKEY COMPONENTS</t>
  </si>
  <si>
    <t xml:space="preserve">CONSTRUCTION TAXES</t>
  </si>
  <si>
    <t xml:space="preserve">Turnkey</t>
  </si>
  <si>
    <t xml:space="preserve">Orig - Taxes</t>
  </si>
  <si>
    <t xml:space="preserve">New Taxes</t>
  </si>
  <si>
    <t xml:space="preserve">Tax On Services</t>
  </si>
  <si>
    <t xml:space="preserve">Tax Rate</t>
  </si>
  <si>
    <t xml:space="preserve">% Onshore</t>
  </si>
  <si>
    <t xml:space="preserve">Tax Basis</t>
  </si>
  <si>
    <t xml:space="preserve">Tax Amount</t>
  </si>
  <si>
    <t xml:space="preserve">Engineering</t>
  </si>
  <si>
    <r>
      <rPr>
        <sz val="10"/>
        <rFont val="Arial"/>
        <family val="2"/>
      </rPr>
      <t xml:space="preserve">Construction </t>
    </r>
    <r>
      <rPr>
        <i val="true"/>
        <sz val="9"/>
        <rFont val="Arial"/>
        <family val="2"/>
      </rPr>
      <t xml:space="preserve">(Included In Contract)</t>
    </r>
  </si>
  <si>
    <t xml:space="preserve">SCADA</t>
  </si>
  <si>
    <t xml:space="preserve">Pre-NTP Engineering</t>
  </si>
  <si>
    <t xml:space="preserve">Pipeline Materials</t>
  </si>
  <si>
    <t xml:space="preserve">Project Management </t>
  </si>
  <si>
    <t xml:space="preserve">Non-Pipe Materials</t>
  </si>
  <si>
    <t xml:space="preserve">Construction Management</t>
  </si>
  <si>
    <t xml:space="preserve">Construction</t>
  </si>
  <si>
    <t xml:space="preserve">Warranty Management</t>
  </si>
  <si>
    <t xml:space="preserve">Total Tax On Services</t>
  </si>
  <si>
    <r>
      <rPr>
        <b val="true"/>
        <u val="single"/>
        <sz val="10"/>
        <rFont val="Arial"/>
        <family val="2"/>
      </rPr>
      <t xml:space="preserve">ICMS On Transportation Within Brazil </t>
    </r>
    <r>
      <rPr>
        <b val="true"/>
        <i val="true"/>
        <u val="single"/>
        <sz val="9"/>
        <rFont val="Arial"/>
        <family val="2"/>
      </rPr>
      <t xml:space="preserve">(Exempt)</t>
    </r>
  </si>
  <si>
    <t xml:space="preserve">Pipe Only</t>
  </si>
  <si>
    <t xml:space="preserve">Indemnity Fee</t>
  </si>
  <si>
    <t xml:space="preserve">Non-Pipe Material</t>
  </si>
  <si>
    <t xml:space="preserve">   Subtotal Before Taxes</t>
  </si>
  <si>
    <r>
      <rPr>
        <sz val="10"/>
        <rFont val="Arial"/>
        <family val="2"/>
      </rPr>
      <t xml:space="preserve">Plus: Total Customs / Duties </t>
    </r>
    <r>
      <rPr>
        <i val="true"/>
        <sz val="9"/>
        <rFont val="Arial"/>
        <family val="2"/>
      </rPr>
      <t xml:space="preserve">(See Below)</t>
    </r>
  </si>
  <si>
    <t xml:space="preserve">Construction Taxes</t>
  </si>
  <si>
    <t xml:space="preserve">Transportation</t>
  </si>
  <si>
    <t xml:space="preserve">Jose Bestard Assumption</t>
  </si>
  <si>
    <t xml:space="preserve">Total Turnkey Amount</t>
  </si>
  <si>
    <r>
      <rPr>
        <b val="true"/>
        <sz val="10"/>
        <rFont val="Arial"/>
        <family val="2"/>
      </rPr>
      <t xml:space="preserve">Total ICMS On Transportation </t>
    </r>
    <r>
      <rPr>
        <b val="true"/>
        <i val="true"/>
        <sz val="9"/>
        <color rgb="FFFF0000"/>
        <rFont val="arial"/>
        <family val="2"/>
      </rPr>
      <t xml:space="preserve">(Included In Construction / Pipe / Non-Pipe Costs)</t>
    </r>
  </si>
  <si>
    <r>
      <rPr>
        <b val="true"/>
        <sz val="10"/>
        <rFont val="Arial"/>
        <family val="2"/>
      </rPr>
      <t xml:space="preserve">Approved Change Orders </t>
    </r>
    <r>
      <rPr>
        <sz val="10"/>
        <rFont val="Arial"/>
        <family val="2"/>
      </rPr>
      <t xml:space="preserve">(04/04/2000 Monthly Progress Report)</t>
    </r>
  </si>
  <si>
    <t xml:space="preserve">Customs / Duties</t>
  </si>
  <si>
    <t xml:space="preserve">State ICMS</t>
  </si>
  <si>
    <t xml:space="preserve">P.C.O. - 001 Survey / Engr For Addit'l Length</t>
  </si>
  <si>
    <t xml:space="preserve">P.C.O. - 002 Survey / Engr For Reduced Length</t>
  </si>
  <si>
    <t xml:space="preserve">P.C.O. - 003 Pipe Laydown And Storage Yard</t>
  </si>
  <si>
    <t xml:space="preserve">Subtotal</t>
  </si>
  <si>
    <t xml:space="preserve">P.C.O. - 009 Geotech. Investigation For River Crossing</t>
  </si>
  <si>
    <t xml:space="preserve">Import Taxes</t>
  </si>
  <si>
    <t xml:space="preserve">P.C.O. - 010 Reroute Due To Landowner</t>
  </si>
  <si>
    <t xml:space="preserve">P.C.O. - 011 Home Office Support For Survey Work</t>
  </si>
  <si>
    <t xml:space="preserve">P.C.O. - 014 Eliminate Compressor Stations</t>
  </si>
  <si>
    <t xml:space="preserve">P.C.O. - 015 Roberto Ibatta (IPE) Visit For ROW Changes</t>
  </si>
  <si>
    <t xml:space="preserve">Federal IPI</t>
  </si>
  <si>
    <t xml:space="preserve">P.C.O. - 016 Inspect Pirputenga &amp; Santana Ridges</t>
  </si>
  <si>
    <t xml:space="preserve">P.C.O. - 017 Ridges Core Samples</t>
  </si>
  <si>
    <t xml:space="preserve">P.C.O. - 018 Reroute Pipeline In Ridges</t>
  </si>
  <si>
    <t xml:space="preserve">P.C.O. - 019 Survey Land For Metering Station</t>
  </si>
  <si>
    <t xml:space="preserve">Total Customs / Duties</t>
  </si>
  <si>
    <t xml:space="preserve">P.C.O. - 021 Extended Overheads (42% Of $300)</t>
  </si>
  <si>
    <t xml:space="preserve">P.C.O. - 022 Additional Inspection Staff (42% Of $1,650)</t>
  </si>
  <si>
    <t xml:space="preserve">Total Construction Taxes</t>
  </si>
  <si>
    <t xml:space="preserve">P.C.O. - 023 Brazil Pipeline Contractor Standby Expenses</t>
  </si>
  <si>
    <t xml:space="preserve">P.C.O. - 024 Brazil Pipeline Contractor Acceleration Expenses</t>
  </si>
  <si>
    <t xml:space="preserve">P.C.O. - 026 Ridges - Pipe Purchase And 13 KM Reroute</t>
  </si>
  <si>
    <t xml:space="preserve">P.C.O. - 02? SCC Overheads (42% Of $1,085)</t>
  </si>
  <si>
    <t xml:space="preserve">P.C.O. - 049 Credit Owner For Camp Accomodations</t>
  </si>
  <si>
    <t xml:space="preserve">Total Approved Change Orders</t>
  </si>
  <si>
    <t xml:space="preserve">Total Amount</t>
  </si>
  <si>
    <t xml:space="preserve">GasBol %</t>
  </si>
  <si>
    <t xml:space="preserve">Allocated $</t>
  </si>
  <si>
    <t xml:space="preserve">P.C.O. - 004 Powercrete Pipe Coating 40 Mil Thickness</t>
  </si>
  <si>
    <t xml:space="preserve">Total Pending Change Orders</t>
  </si>
  <si>
    <r>
      <rPr>
        <b val="true"/>
        <sz val="10"/>
        <rFont val="Arial"/>
        <family val="2"/>
      </rPr>
      <t xml:space="preserve">Other Change Orders </t>
    </r>
    <r>
      <rPr>
        <sz val="10"/>
        <rFont val="Arial"/>
        <family val="2"/>
      </rPr>
      <t xml:space="preserve">(04/04/2000 Monthly Progress Report)</t>
    </r>
  </si>
  <si>
    <t xml:space="preserve">Change Order Settlement</t>
  </si>
  <si>
    <t xml:space="preserve">Forecasted Change Orders</t>
  </si>
  <si>
    <t xml:space="preserve">Ridges Completion</t>
  </si>
  <si>
    <t xml:space="preserve">Park/Museum</t>
  </si>
  <si>
    <t xml:space="preserve">Total Other Change Orders</t>
  </si>
  <si>
    <t xml:space="preserve">DRAWDOWN SCHEDULE ($000)</t>
  </si>
  <si>
    <t xml:space="preserve">Current Month</t>
  </si>
  <si>
    <t xml:space="preserve">"Draw_Table"</t>
  </si>
  <si>
    <t xml:space="preserve">Calendar Month</t>
  </si>
  <si>
    <t xml:space="preserve">Loopfactor</t>
  </si>
  <si>
    <t xml:space="preserve">   Total Commitment Fee Drawdown</t>
  </si>
  <si>
    <t xml:space="preserve">   Total Drawdown Before IDC</t>
  </si>
  <si>
    <t xml:space="preserve">"Draw_Table2"</t>
  </si>
  <si>
    <t xml:space="preserve">Turnkey Drawdown (Base Per SCC Contract)</t>
  </si>
  <si>
    <t xml:space="preserve">Historic Drawdown - For Comparison Only</t>
  </si>
  <si>
    <t xml:space="preserve">Monthly Drawdown Amount</t>
  </si>
  <si>
    <t xml:space="preserve">Cumulative Drawdown Amount</t>
  </si>
  <si>
    <t xml:space="preserve">Monthly Drawdown %</t>
  </si>
  <si>
    <t xml:space="preserve">Pipeline Materials Schedule</t>
  </si>
  <si>
    <t xml:space="preserve">GasBol</t>
  </si>
  <si>
    <t xml:space="preserve">GasMat</t>
  </si>
  <si>
    <t xml:space="preserve">Cumulative Drawdown Percent</t>
  </si>
  <si>
    <t xml:space="preserve">Total Pipeline Materials</t>
  </si>
  <si>
    <t xml:space="preserve">NTP On Pipeline</t>
  </si>
  <si>
    <t xml:space="preserve">Less: Paid</t>
  </si>
  <si>
    <t xml:space="preserve">Pipeline RFS</t>
  </si>
  <si>
    <t xml:space="preserve">(1=Base Schedule, 2=Accelerated Schedule)</t>
  </si>
  <si>
    <t xml:space="preserve">Through</t>
  </si>
  <si>
    <t xml:space="preserve">Construction Months</t>
  </si>
  <si>
    <t xml:space="preserve">Equal Payments Over</t>
  </si>
  <si>
    <t xml:space="preserve">Months</t>
  </si>
  <si>
    <t xml:space="preserve">Turnkey Drawdown (Accelerated)</t>
  </si>
  <si>
    <t xml:space="preserve">Total Turnkey Payments</t>
  </si>
  <si>
    <t xml:space="preserve">Less: Pipeline Materials</t>
  </si>
  <si>
    <t xml:space="preserve">Remaining Turnkey Balance</t>
  </si>
  <si>
    <t xml:space="preserve">Pipeline In Service Date</t>
  </si>
  <si>
    <t xml:space="preserve"># Of Remaining Turnkey Payments</t>
  </si>
  <si>
    <t xml:space="preserve">AMOUNTS IN US$</t>
  </si>
  <si>
    <t xml:space="preserve">Actuals</t>
  </si>
  <si>
    <t xml:space="preserve">INFORMATION PROVIDED BY ASSET MANAGEMENT</t>
  </si>
  <si>
    <t xml:space="preserve">Funding</t>
  </si>
  <si>
    <t xml:space="preserve">Equity Funding</t>
  </si>
  <si>
    <t xml:space="preserve">Construction Loans</t>
  </si>
  <si>
    <t xml:space="preserve">Interest Income (Cash In Bank)</t>
  </si>
  <si>
    <t xml:space="preserve">OPIC </t>
  </si>
  <si>
    <t xml:space="preserve">KFW</t>
  </si>
  <si>
    <t xml:space="preserve">Total Funding</t>
  </si>
  <si>
    <t xml:space="preserve">Disbursments</t>
  </si>
  <si>
    <t xml:space="preserve">EPC/Superior Onshore Payments</t>
  </si>
  <si>
    <t xml:space="preserve">EPC/Superior Offshore Payments</t>
  </si>
  <si>
    <t xml:space="preserve">Offshore Legal</t>
  </si>
  <si>
    <t xml:space="preserve">Imports Purchase</t>
  </si>
  <si>
    <t xml:space="preserve">Insurance</t>
  </si>
  <si>
    <t xml:space="preserve">Land &amp; Right Of Way</t>
  </si>
  <si>
    <t xml:space="preserve">Service Contractors</t>
  </si>
  <si>
    <t xml:space="preserve">Engineering Costs</t>
  </si>
  <si>
    <t xml:space="preserve">Environmental Costs</t>
  </si>
  <si>
    <t xml:space="preserve">IGPD</t>
  </si>
  <si>
    <t xml:space="preserve">Other (includes development and mobilization)</t>
  </si>
  <si>
    <t xml:space="preserve">Total Disbursments</t>
  </si>
  <si>
    <t xml:space="preserve">INTEREST DURING CONSTRUCTION ($000)</t>
  </si>
  <si>
    <t xml:space="preserve">"IDC_Table"</t>
  </si>
  <si>
    <t xml:space="preserve">(Excl IDC &amp; W/H)</t>
  </si>
  <si>
    <t xml:space="preserve">Project Cost</t>
  </si>
  <si>
    <t xml:space="preserve">Bridge Financing Rate</t>
  </si>
  <si>
    <t xml:space="preserve">Permanent Financing Rate</t>
  </si>
  <si>
    <t xml:space="preserve">Subordinated Debt Rate</t>
  </si>
  <si>
    <t xml:space="preserve">Construction Balance</t>
  </si>
  <si>
    <t xml:space="preserve">Construction Drawdown</t>
  </si>
  <si>
    <t xml:space="preserve">  Cumulative % Complete (Excl IDC &amp; W/H Tax)</t>
  </si>
  <si>
    <t xml:space="preserve">  All-In Cumulative % Complete</t>
  </si>
  <si>
    <t xml:space="preserve">Shareholder Construction Loan</t>
  </si>
  <si>
    <t xml:space="preserve">Shareholder Loan Repayment</t>
  </si>
  <si>
    <t xml:space="preserve">Plus: Interest During Construction</t>
  </si>
  <si>
    <t xml:space="preserve">Plus: W/H Tax - IDC</t>
  </si>
  <si>
    <t xml:space="preserve">Senior Debt Proceeds</t>
  </si>
  <si>
    <t xml:space="preserve">Subordinated Debt Proceeds</t>
  </si>
  <si>
    <t xml:space="preserve">IDC - Shareholder Construction Loan</t>
  </si>
  <si>
    <t xml:space="preserve">IDC - Senior Debt</t>
  </si>
  <si>
    <t xml:space="preserve">IDC - Subordinated Debt</t>
  </si>
  <si>
    <t xml:space="preserve">Total IDC</t>
  </si>
  <si>
    <t xml:space="preserve">IDC - Cumulative</t>
  </si>
  <si>
    <t xml:space="preserve">W/H Tax - Cumulative</t>
  </si>
  <si>
    <t xml:space="preserve">Monthly IDC To Be Expensed</t>
  </si>
  <si>
    <t xml:space="preserve">Cumulative IDC To Be Expensed</t>
  </si>
  <si>
    <t xml:space="preserve">Equity Balance</t>
  </si>
  <si>
    <t xml:space="preserve">Actual Equity Contribution</t>
  </si>
  <si>
    <t xml:space="preserve">Cumulative Equity Contribution</t>
  </si>
  <si>
    <t xml:space="preserve">Total Interest During Construction</t>
  </si>
  <si>
    <t xml:space="preserve">Total W/H Tax - Interest</t>
  </si>
  <si>
    <t xml:space="preserve">Cumulative Bridge Loan Issuance</t>
  </si>
  <si>
    <t xml:space="preserve">Cumulative Bridge Loan IDC</t>
  </si>
  <si>
    <t xml:space="preserve">Cumulative Bridge Loan W/H Tax - IDC</t>
  </si>
  <si>
    <t xml:space="preserve">Total Cumulative Bridge Loan</t>
  </si>
  <si>
    <t xml:space="preserve">Commitment Fee Calculation</t>
  </si>
  <si>
    <t xml:space="preserve">Beginning Commitment Amount</t>
  </si>
  <si>
    <t xml:space="preserve">Current Period Amount Committed</t>
  </si>
  <si>
    <t xml:space="preserve">Current Period Amount Drawndown</t>
  </si>
  <si>
    <t xml:space="preserve">Ending Commitment Amount</t>
  </si>
  <si>
    <t xml:space="preserve">   Total Commitment Fee</t>
  </si>
  <si>
    <t xml:space="preserve">Total Commitment Fee</t>
  </si>
  <si>
    <t xml:space="preserve">DEBT AMORTIZATION ($000)</t>
  </si>
  <si>
    <t xml:space="preserve">Totals  </t>
  </si>
  <si>
    <t xml:space="preserve">   Interest</t>
  </si>
  <si>
    <t xml:space="preserve">   Principal</t>
  </si>
  <si>
    <t xml:space="preserve">         Total Senior Debt</t>
  </si>
  <si>
    <t xml:space="preserve">Cumulative Principal Payments</t>
  </si>
  <si>
    <t xml:space="preserve">   6 Months Of Debt Service</t>
  </si>
  <si>
    <t xml:space="preserve">         Total Subordinated Debt</t>
  </si>
  <si>
    <t xml:space="preserve">Fee for Lender's Put Option</t>
  </si>
  <si>
    <t xml:space="preserve">Principal</t>
  </si>
  <si>
    <t xml:space="preserve">Repayment</t>
  </si>
  <si>
    <t xml:space="preserve">Term (Years)</t>
  </si>
  <si>
    <t xml:space="preserve"># Of Payments</t>
  </si>
  <si>
    <t xml:space="preserve">Grace Periods</t>
  </si>
  <si>
    <t xml:space="preserve">Custom Amortization</t>
  </si>
  <si>
    <t xml:space="preserve">ENRON </t>
  </si>
  <si>
    <t xml:space="preserve">Senior</t>
  </si>
  <si>
    <t xml:space="preserve">Subdebt</t>
  </si>
  <si>
    <t xml:space="preserve">GUARANTEE FEE</t>
  </si>
  <si>
    <t xml:space="preserve">Tranche 1</t>
  </si>
  <si>
    <t xml:space="preserve">Amort</t>
  </si>
  <si>
    <t xml:space="preserve">Tranche 2</t>
  </si>
  <si>
    <t xml:space="preserve">Tranche 3</t>
  </si>
  <si>
    <t xml:space="preserve">Tranche 4</t>
  </si>
  <si>
    <t xml:space="preserve">Tranche 5</t>
  </si>
  <si>
    <t xml:space="preserve">Tranche 6</t>
  </si>
  <si>
    <t xml:space="preserve">Year</t>
  </si>
  <si>
    <t xml:space="preserve">Period</t>
  </si>
  <si>
    <t xml:space="preserve">Begin Bal</t>
  </si>
  <si>
    <t xml:space="preserve">Interest</t>
  </si>
  <si>
    <t xml:space="preserve">End Bal</t>
  </si>
  <si>
    <t xml:space="preserve">Percent</t>
  </si>
  <si>
    <t xml:space="preserve">TOTALS</t>
  </si>
  <si>
    <t xml:space="preserve">&lt;=== Offset For "Fin_Table"</t>
  </si>
  <si>
    <t xml:space="preserve">SUDAM TAX CREDITS ($000)</t>
  </si>
  <si>
    <t xml:space="preserve">Months In Period</t>
  </si>
  <si>
    <t xml:space="preserve">Operating Income</t>
  </si>
  <si>
    <t xml:space="preserve">Operating Expenses (Fuel, Transportation, O&amp;M)</t>
  </si>
  <si>
    <t xml:space="preserve">Transborder Payment (Gas Reservation)</t>
  </si>
  <si>
    <t xml:space="preserve">Book Depreciation</t>
  </si>
  <si>
    <t xml:space="preserve">Net Operating Income</t>
  </si>
  <si>
    <t xml:space="preserve">Financial Income</t>
  </si>
  <si>
    <t xml:space="preserve">Interest Income - Partner Loans</t>
  </si>
  <si>
    <t xml:space="preserve">L/C Fee On Debt Reserve (Following Year)</t>
  </si>
  <si>
    <t xml:space="preserve">Less: Interest Expense - Before W/H Tax</t>
  </si>
  <si>
    <t xml:space="preserve">Less: INE Interest Expense</t>
  </si>
  <si>
    <t xml:space="preserve">Net Financial Income</t>
  </si>
  <si>
    <t xml:space="preserve">Pre-Tax Book Income</t>
  </si>
  <si>
    <t xml:space="preserve">Less: Financial Income In Excess Of Financial Losses</t>
  </si>
  <si>
    <t xml:space="preserve">Exploitation Profits</t>
  </si>
  <si>
    <t xml:space="preserve">Exploitation Profits Subject To Sudam (&gt;0)</t>
  </si>
  <si>
    <t xml:space="preserve">Times: Corporate Income Tax</t>
  </si>
  <si>
    <t xml:space="preserve">Total Corporate Income Tax Payable</t>
  </si>
  <si>
    <t xml:space="preserve">Less: Amount Not Subject To Add'l Tax</t>
  </si>
  <si>
    <t xml:space="preserve">Income Subject To Additional Tax</t>
  </si>
  <si>
    <t xml:space="preserve">Times: Additional Tax</t>
  </si>
  <si>
    <t xml:space="preserve">Total Additional Tax</t>
  </si>
  <si>
    <t xml:space="preserve">Income Taxes Subject To Sudam Credit</t>
  </si>
  <si>
    <t xml:space="preserve">Sudam Credit %</t>
  </si>
  <si>
    <t xml:space="preserve">Sudam Tax Credit Taken *</t>
  </si>
  <si>
    <t xml:space="preserve">(Min Of Max Vs Actual)</t>
  </si>
  <si>
    <t xml:space="preserve">* Sudam Tax Credit Taken Applied To A Reserve Account (See Trapped Cash Sheet)</t>
  </si>
  <si>
    <t xml:space="preserve">Prior Year Cumulative Initial Equity</t>
  </si>
  <si>
    <t xml:space="preserve">Plus: Prior Year Cumulative Net Income</t>
  </si>
  <si>
    <t xml:space="preserve">Less: Prior Year Cumulative Dividends</t>
  </si>
  <si>
    <t xml:space="preserve">Prior Year Cumulative Net Equity</t>
  </si>
  <si>
    <t xml:space="preserve">Times: Maximum % Allowable</t>
  </si>
  <si>
    <t xml:space="preserve">Maximum INE Allowable</t>
  </si>
  <si>
    <t xml:space="preserve">(a)</t>
  </si>
  <si>
    <t xml:space="preserve">Prior Year Retained Earnings Balance</t>
  </si>
  <si>
    <t xml:space="preserve">(c)</t>
  </si>
  <si>
    <t xml:space="preserve">Current Year Net Income (Before INE)</t>
  </si>
  <si>
    <t xml:space="preserve">(d)</t>
  </si>
  <si>
    <t xml:space="preserve">Max Of (c) &amp; (d)</t>
  </si>
  <si>
    <t xml:space="preserve">Times: Current Year Limitation % For INE</t>
  </si>
  <si>
    <t xml:space="preserve">Current Year INE Limitation</t>
  </si>
  <si>
    <t xml:space="preserve">(b)</t>
  </si>
  <si>
    <t xml:space="preserve">INE Payable To Shareholders</t>
  </si>
  <si>
    <t xml:space="preserve">Min Of a &amp; b (Not&lt;0)</t>
  </si>
  <si>
    <t xml:space="preserve">CASH / BOOK TAXES ($000)</t>
  </si>
  <si>
    <t xml:space="preserve">"Tax_Table"</t>
  </si>
  <si>
    <t xml:space="preserve">CASH TAXES</t>
  </si>
  <si>
    <t xml:space="preserve">Taxable Income Calculation (Excluding Sudam)</t>
  </si>
  <si>
    <t xml:space="preserve">Earnings Before Depr, Int, &amp; Taxes</t>
  </si>
  <si>
    <t xml:space="preserve">Plus: Maintenance Accrual To Cash Adjustment</t>
  </si>
  <si>
    <t xml:space="preserve">Less: Tax Depreciation</t>
  </si>
  <si>
    <t xml:space="preserve">Less: Interest Expense (Before W/H Tax)</t>
  </si>
  <si>
    <t xml:space="preserve">Net Income Before NOL Carryforward</t>
  </si>
  <si>
    <t xml:space="preserve">NOL Used In Current Year</t>
  </si>
  <si>
    <t xml:space="preserve">See Below</t>
  </si>
  <si>
    <t xml:space="preserve">Net Income Subject To Income Taxes (w/o Sudam)</t>
  </si>
  <si>
    <t xml:space="preserve">Net Operating Loss Calculation (Normal Taxes)</t>
  </si>
  <si>
    <t xml:space="preserve">Beginning NOL Balance</t>
  </si>
  <si>
    <t xml:space="preserve">Prior Year's NOL</t>
  </si>
  <si>
    <t xml:space="preserve">Ending NOL Balance</t>
  </si>
  <si>
    <t xml:space="preserve">Net Income Subject To Income Tax (w/o Sudam)</t>
  </si>
  <si>
    <t xml:space="preserve">Subtotal Corporate Income Tax &amp; Additional Income Tax</t>
  </si>
  <si>
    <r>
      <rPr>
        <sz val="10"/>
        <rFont val="Arial"/>
        <family val="2"/>
      </rPr>
      <t xml:space="preserve">Sudam Credit Used </t>
    </r>
    <r>
      <rPr>
        <sz val="9"/>
        <rFont val="Arial"/>
        <family val="2"/>
      </rPr>
      <t xml:space="preserve">(See Sudam Tax Credit Calculation)</t>
    </r>
  </si>
  <si>
    <t xml:space="preserve">Net Corporate Tax &amp; Additional Tax Payable</t>
  </si>
  <si>
    <t xml:space="preserve">Times: Social Contribution Tax Rate</t>
  </si>
  <si>
    <t xml:space="preserve">Total Social Contribution Tax </t>
  </si>
  <si>
    <t xml:space="preserve">Total Cash Taxes (Excluding Sudam Credit)</t>
  </si>
  <si>
    <t xml:space="preserve">Tax Savings Under Sudam (Applied To Reserve)</t>
  </si>
  <si>
    <t xml:space="preserve">Total Cash Taxes</t>
  </si>
  <si>
    <t xml:space="preserve">Effective Corporate Tax Rate</t>
  </si>
  <si>
    <t xml:space="preserve">BOOK TAXES</t>
  </si>
  <si>
    <t xml:space="preserve">Corporate Income Tax (Before Sudam Credit)</t>
  </si>
  <si>
    <t xml:space="preserve">Additional Income Tax (Before Sudam Credit)</t>
  </si>
  <si>
    <t xml:space="preserve">Plus: Tax Depreciation</t>
  </si>
  <si>
    <t xml:space="preserve">Less: Book Depreciaiton</t>
  </si>
  <si>
    <t xml:space="preserve">Less: Maintenance Accrual To Cash Adjustment</t>
  </si>
  <si>
    <t xml:space="preserve">Total Temporary Differences</t>
  </si>
  <si>
    <t xml:space="preserve">Total Cash Taxes (Excl Sudam Credit &amp; Temp Differences)</t>
  </si>
  <si>
    <t xml:space="preserve">Total Cash Taxes On Temporary Differences</t>
  </si>
  <si>
    <t xml:space="preserve">Book Provision For Income Tax</t>
  </si>
  <si>
    <t xml:space="preserve">Deferred Tax Asset / Liability</t>
  </si>
  <si>
    <t xml:space="preserve">Beginning Deferred Tax Asset / (Liability)</t>
  </si>
  <si>
    <t xml:space="preserve">Plus: Current Year Cash Taxes (Excluding Sudam Benefits)</t>
  </si>
  <si>
    <t xml:space="preserve">Less: Current Year Book Taxes</t>
  </si>
  <si>
    <t xml:space="preserve">Ending Deferred Tax Asset / (Liability)</t>
  </si>
  <si>
    <t xml:space="preserve">DEPRECIATION ($000)</t>
  </si>
  <si>
    <t xml:space="preserve">Total Project Cost</t>
  </si>
  <si>
    <t xml:space="preserve">Less: Line Fill</t>
  </si>
  <si>
    <t xml:space="preserve">Less: Working Capital</t>
  </si>
  <si>
    <t xml:space="preserve">Total Depreciable Basis</t>
  </si>
  <si>
    <t xml:space="preserve">Tax Depreciation:</t>
  </si>
  <si>
    <t xml:space="preserve">Deprec</t>
  </si>
  <si>
    <t xml:space="preserve">Original</t>
  </si>
  <si>
    <t xml:space="preserve">Current Tax Depreciation:</t>
  </si>
  <si>
    <t xml:space="preserve">Life</t>
  </si>
  <si>
    <t xml:space="preserve">Basis  </t>
  </si>
  <si>
    <t xml:space="preserve">Total Current Tax Depreciation</t>
  </si>
  <si>
    <t xml:space="preserve">Accumulated Tax Depreciation</t>
  </si>
  <si>
    <t xml:space="preserve">Beginning Tax Basis</t>
  </si>
  <si>
    <t xml:space="preserve">Plus: New Additions</t>
  </si>
  <si>
    <t xml:space="preserve">Less: Current Depreciation</t>
  </si>
  <si>
    <t xml:space="preserve">Ending Tax Basis</t>
  </si>
  <si>
    <t xml:space="preserve">Book Depreciation:</t>
  </si>
  <si>
    <t xml:space="preserve">Current Book Depreciation:</t>
  </si>
  <si>
    <t xml:space="preserve">Total Current Book Depreciation</t>
  </si>
  <si>
    <t xml:space="preserve">Accumulated Book Depreciation</t>
  </si>
  <si>
    <t xml:space="preserve">Beginning Book Basis</t>
  </si>
  <si>
    <t xml:space="preserve">Ending Book Basis</t>
  </si>
  <si>
    <t xml:space="preserve">GAAP Depreciation:</t>
  </si>
  <si>
    <t xml:space="preserve">Current Gaap Depreciation</t>
  </si>
  <si>
    <t xml:space="preserve">Total Current GAAP Depreciation</t>
  </si>
  <si>
    <t xml:space="preserve">Accumulated GAAP Depreciation</t>
  </si>
  <si>
    <t xml:space="preserve">Beginning GAAP Basis</t>
  </si>
  <si>
    <t xml:space="preserve">Ending GAAP Basis</t>
  </si>
  <si>
    <t xml:space="preserve">COMMON SIZED FINANCIALS</t>
  </si>
  <si>
    <t xml:space="preserve">GASOCIDENTE DO MATO GROSSO - GASMAT</t>
  </si>
  <si>
    <t xml:space="preserve">Opening</t>
  </si>
  <si>
    <t xml:space="preserve">"BS_Table"</t>
  </si>
  <si>
    <t xml:space="preserve">BALANCE SHEET</t>
  </si>
  <si>
    <t xml:space="preserve">Balance</t>
  </si>
  <si>
    <t xml:space="preserve">Assets</t>
  </si>
  <si>
    <t xml:space="preserve">Cash &amp; Cash Equivalents</t>
  </si>
  <si>
    <t xml:space="preserve">Inventory - Spares</t>
  </si>
  <si>
    <t xml:space="preserve">N/R - Shareholder Loans</t>
  </si>
  <si>
    <t xml:space="preserve">Property, Plant &amp; Equipment</t>
  </si>
  <si>
    <t xml:space="preserve">Cost (Less Sale Of VAT)</t>
  </si>
  <si>
    <t xml:space="preserve">Accumulated Depreciation</t>
  </si>
  <si>
    <t xml:space="preserve">Property, Plant &amp; Equipment (Net)</t>
  </si>
  <si>
    <t xml:space="preserve">Land</t>
  </si>
  <si>
    <t xml:space="preserve">Deferred Tax Asset</t>
  </si>
  <si>
    <t xml:space="preserve">Total Assets</t>
  </si>
  <si>
    <t xml:space="preserve">Liabilities</t>
  </si>
  <si>
    <t xml:space="preserve">Deferred Tax Liability</t>
  </si>
  <si>
    <t xml:space="preserve">Bridge Loan</t>
  </si>
  <si>
    <t xml:space="preserve">Total Liabilities</t>
  </si>
  <si>
    <t xml:space="preserve">Stockholders' Equity</t>
  </si>
  <si>
    <t xml:space="preserve">Capital Stock (Common &amp; Preferred)</t>
  </si>
  <si>
    <t xml:space="preserve">Net Income</t>
  </si>
  <si>
    <t xml:space="preserve">Cashflow Distributed</t>
  </si>
  <si>
    <t xml:space="preserve">Total Stockholders' Equity</t>
  </si>
  <si>
    <t xml:space="preserve">Total Liabilities &amp; Stockholders' Equity</t>
  </si>
  <si>
    <t xml:space="preserve">INCOME STATEMENT</t>
  </si>
  <si>
    <t xml:space="preserve">Gross Revenue</t>
  </si>
  <si>
    <t xml:space="preserve">Less: PIS / COFINS</t>
  </si>
  <si>
    <t xml:space="preserve">Net Revenues</t>
  </si>
  <si>
    <t xml:space="preserve">Commodity Fuel Expense</t>
  </si>
  <si>
    <t xml:space="preserve">Transportation &amp; Take Or Pay</t>
  </si>
  <si>
    <t xml:space="preserve">Operations &amp; Maintenance</t>
  </si>
  <si>
    <t xml:space="preserve">Other Income / (Expenses)</t>
  </si>
  <si>
    <t xml:space="preserve">Interest Expense - Senior Debt</t>
  </si>
  <si>
    <t xml:space="preserve">Interest Expense - Subordinated Debt</t>
  </si>
  <si>
    <t xml:space="preserve">IDC To Be Expensed</t>
  </si>
  <si>
    <t xml:space="preserve">Total Depreciation &amp; Interest</t>
  </si>
  <si>
    <t xml:space="preserve">Income Before Income Taxes</t>
  </si>
  <si>
    <t xml:space="preserve">Provision For Income Taxes (Income &amp; Surtax)</t>
  </si>
  <si>
    <t xml:space="preserve">RATIO ANALYSIS</t>
  </si>
  <si>
    <t xml:space="preserve">Avg</t>
  </si>
  <si>
    <t xml:space="preserve">Return on Invested Capital</t>
  </si>
  <si>
    <t xml:space="preserve">ROA</t>
  </si>
  <si>
    <t xml:space="preserve">ROE</t>
  </si>
  <si>
    <t xml:space="preserve">Profitability</t>
  </si>
  <si>
    <t xml:space="preserve">Operating Profit Margin</t>
  </si>
  <si>
    <t xml:space="preserve">Net Profit Margin</t>
  </si>
  <si>
    <t xml:space="preserve">Operating CF to Income</t>
  </si>
  <si>
    <t xml:space="preserve">Asset Utilization</t>
  </si>
  <si>
    <t xml:space="preserve">Asset Turnover</t>
  </si>
  <si>
    <t xml:space="preserve">Cash Turnover</t>
  </si>
  <si>
    <t xml:space="preserve">n/m</t>
  </si>
  <si>
    <t xml:space="preserve">Net Fixed Asset Turnover</t>
  </si>
  <si>
    <t xml:space="preserve">Liquidity</t>
  </si>
  <si>
    <t xml:space="preserve">Current Ratio</t>
  </si>
  <si>
    <t xml:space="preserve">Quick Ratio</t>
  </si>
  <si>
    <t xml:space="preserve">Interest Coverage (EBIT/Interest)</t>
  </si>
  <si>
    <t xml:space="preserve">n/a</t>
  </si>
  <si>
    <t xml:space="preserve">Debt Service Coverage (EBITDA/Debt Service)</t>
  </si>
  <si>
    <t xml:space="preserve">FINANCIAL STATEMENTS ($000)</t>
  </si>
  <si>
    <t xml:space="preserve">Inventory - Linefill</t>
  </si>
  <si>
    <t xml:space="preserve">N/R - Trapped Cash Loans</t>
  </si>
  <si>
    <t xml:space="preserve">Capital Stock</t>
  </si>
  <si>
    <t xml:space="preserve">Total Stockholder's Equity</t>
  </si>
  <si>
    <t xml:space="preserve">Total Liabilities &amp; Stockholder's Equity</t>
  </si>
  <si>
    <t xml:space="preserve">Balance Check:</t>
  </si>
  <si>
    <t xml:space="preserve">Sales Revenues</t>
  </si>
  <si>
    <t xml:space="preserve">Earnings Before Depr, Int, &amp; Taxes (EBDIT)</t>
  </si>
  <si>
    <t xml:space="preserve">Less: Provision For Income Taxes (Income &amp; Surtax)</t>
  </si>
  <si>
    <t xml:space="preserve">Add: Sudam Credits Applied To Losses</t>
  </si>
  <si>
    <t xml:space="preserve">STATEMENT OF CASH FLOWS</t>
  </si>
  <si>
    <t xml:space="preserve">Cash Flows From Operating Activities</t>
  </si>
  <si>
    <t xml:space="preserve">Cash Received From Customers</t>
  </si>
  <si>
    <t xml:space="preserve">Cash Paid To Suppliers &amp; Employees</t>
  </si>
  <si>
    <t xml:space="preserve">Payment From TBS Expansion Option</t>
  </si>
  <si>
    <t xml:space="preserve">Income Taxes Paid</t>
  </si>
  <si>
    <t xml:space="preserve">Net Cash Provided By Operating Activities</t>
  </si>
  <si>
    <t xml:space="preserve">Cash Flows From Financing Activities</t>
  </si>
  <si>
    <t xml:space="preserve">Capital Contributions</t>
  </si>
  <si>
    <t xml:space="preserve">Bridge Loan - Proceeds</t>
  </si>
  <si>
    <t xml:space="preserve">Bridge Loan - Repayment</t>
  </si>
  <si>
    <t xml:space="preserve">Senior Debt - Proceeds</t>
  </si>
  <si>
    <t xml:space="preserve">Senior Debt - Principal Repayment</t>
  </si>
  <si>
    <t xml:space="preserve">Subordinated Debt - Proceeds</t>
  </si>
  <si>
    <t xml:space="preserve">Subordinated Debt - Principal Repayment</t>
  </si>
  <si>
    <t xml:space="preserve">Construction In Progress</t>
  </si>
  <si>
    <t xml:space="preserve">Purchase Of Initial Line Fill</t>
  </si>
  <si>
    <t xml:space="preserve">Loans To Shareholders - Trapped Cash</t>
  </si>
  <si>
    <t xml:space="preserve">Shareholder Loan Repayment - Trapped Cash</t>
  </si>
  <si>
    <t xml:space="preserve">Interest Income - Loans To Shareholders</t>
  </si>
  <si>
    <t xml:space="preserve">Interest Paid -Senior Debt</t>
  </si>
  <si>
    <t xml:space="preserve">Interest Paid -Subordinated Debt</t>
  </si>
  <si>
    <t xml:space="preserve">OPIC Agency Fee</t>
  </si>
  <si>
    <t xml:space="preserve">L/C Fee - Debt Service</t>
  </si>
  <si>
    <t xml:space="preserve">Net Cash Provided By Financing Activities</t>
  </si>
  <si>
    <t xml:space="preserve">Net Increase In Cash &amp; Cash Equivalents</t>
  </si>
  <si>
    <t xml:space="preserve">Cash &amp; Cash Equivalents (BOY)</t>
  </si>
  <si>
    <t xml:space="preserve">Cash &amp; Cash Equivalents (EOY)</t>
  </si>
  <si>
    <t xml:space="preserve">REFERENCE SHEET - 1</t>
  </si>
  <si>
    <t xml:space="preserve">Person(s)</t>
  </si>
  <si>
    <t xml:space="preserve">Date Of</t>
  </si>
  <si>
    <t xml:space="preserve">Responsible</t>
  </si>
  <si>
    <t xml:space="preserve">Assumption Category</t>
  </si>
  <si>
    <t xml:space="preserve">Assumption Description</t>
  </si>
  <si>
    <t xml:space="preserve">Current Assumption</t>
  </si>
  <si>
    <t xml:space="preserve">Assumption Reference</t>
  </si>
  <si>
    <t xml:space="preserve">Reference</t>
  </si>
  <si>
    <t xml:space="preserve">For Assumption</t>
  </si>
  <si>
    <t xml:space="preserve">Comments</t>
  </si>
  <si>
    <t xml:space="preserve">Project Information Memorandum</t>
  </si>
  <si>
    <t xml:space="preserve">DKB</t>
  </si>
  <si>
    <t xml:space="preserve">Chapter 6 Section 1.2</t>
  </si>
  <si>
    <t xml:space="preserve">Chapter 6 Section 1.0</t>
  </si>
  <si>
    <t xml:space="preserve">SCC EPC Contract</t>
  </si>
  <si>
    <t xml:space="preserve">N. Khan</t>
  </si>
  <si>
    <t xml:space="preserve">Table C-2</t>
  </si>
  <si>
    <t xml:space="preserve">R. Lammers - Verbal</t>
  </si>
  <si>
    <t xml:space="preserve">R. Lammers</t>
  </si>
  <si>
    <t xml:space="preserve">To Follow Up With Final Schedule</t>
  </si>
  <si>
    <t xml:space="preserve">Calculation</t>
  </si>
  <si>
    <t xml:space="preserve">PPA</t>
  </si>
  <si>
    <t xml:space="preserve">Verify This Assumption</t>
  </si>
  <si>
    <t xml:space="preserve">Years</t>
  </si>
  <si>
    <t xml:space="preserve">TGS-GasBol Contract</t>
  </si>
  <si>
    <t xml:space="preserve">Opening Paragraph</t>
  </si>
  <si>
    <t xml:space="preserve">S. Friedlander - Verbal</t>
  </si>
  <si>
    <t xml:space="preserve">S. Friedlander</t>
  </si>
  <si>
    <t xml:space="preserve">Six Months From Start Of Phase III</t>
  </si>
  <si>
    <t xml:space="preserve">TGS-GasMat Contract</t>
  </si>
  <si>
    <t xml:space="preserve">Section 3.1</t>
  </si>
  <si>
    <t xml:space="preserve">Escalation On Fixed Capacity Payment</t>
  </si>
  <si>
    <t xml:space="preserve">Section 4.1</t>
  </si>
  <si>
    <t xml:space="preserve">Base Year</t>
  </si>
  <si>
    <t xml:space="preserve">Escalate @ CPI</t>
  </si>
  <si>
    <t xml:space="preserve">K. Pierce - Memo</t>
  </si>
  <si>
    <t xml:space="preserve">K. Pierce</t>
  </si>
  <si>
    <t xml:space="preserve">Includes GasBol / Transredes O&amp;M Agrmnt</t>
  </si>
  <si>
    <t xml:space="preserve">D. Vincent - Memo</t>
  </si>
  <si>
    <t xml:space="preserve">D. Vincent</t>
  </si>
  <si>
    <t xml:space="preserve">Premium $308K, Taxes $63K</t>
  </si>
  <si>
    <t xml:space="preserve">J. Bestard - Verbal</t>
  </si>
  <si>
    <t xml:space="preserve">J. Bestard</t>
  </si>
  <si>
    <t xml:space="preserve">Section 8.1</t>
  </si>
  <si>
    <t xml:space="preserve">Conversion Of MCM To Kcal</t>
  </si>
  <si>
    <t xml:space="preserve">Kcal / MCM</t>
  </si>
  <si>
    <t xml:space="preserve">Conversion Tables</t>
  </si>
  <si>
    <t xml:space="preserve">Conversion Of Kcal To MMBTU</t>
  </si>
  <si>
    <t xml:space="preserve">MMBTU / Kcal</t>
  </si>
  <si>
    <t xml:space="preserve">MCM / MMBTU</t>
  </si>
  <si>
    <t xml:space="preserve">REFERENCE SHEET - 2</t>
  </si>
  <si>
    <t xml:space="preserve">Current</t>
  </si>
  <si>
    <t xml:space="preserve">Responsible </t>
  </si>
  <si>
    <t xml:space="preserve">Assumption</t>
  </si>
  <si>
    <t xml:space="preserve">B. Rosen - Memo</t>
  </si>
  <si>
    <t xml:space="preserve">B. Rosen</t>
  </si>
  <si>
    <t xml:space="preserve">Item #1</t>
  </si>
  <si>
    <t xml:space="preserve">Item #2</t>
  </si>
  <si>
    <t xml:space="preserve">Item #3</t>
  </si>
  <si>
    <t xml:space="preserve">Item #4, 17</t>
  </si>
  <si>
    <t xml:space="preserve">Item #78</t>
  </si>
  <si>
    <t xml:space="preserve">Item #19</t>
  </si>
  <si>
    <t xml:space="preserve">Item #75, 77</t>
  </si>
  <si>
    <t xml:space="preserve">Item #29</t>
  </si>
  <si>
    <t xml:space="preserve">Item #30</t>
  </si>
  <si>
    <t xml:space="preserve">Item #33</t>
  </si>
  <si>
    <t xml:space="preserve">Item #34</t>
  </si>
  <si>
    <t xml:space="preserve">IBFD Document</t>
  </si>
  <si>
    <t xml:space="preserve">Section 9.03 (a), 9.06 (b)</t>
  </si>
  <si>
    <t xml:space="preserve">Point #2.</t>
  </si>
  <si>
    <t xml:space="preserve">Item #63, 64</t>
  </si>
  <si>
    <t xml:space="preserve">Exhibit C-2, Section III C(I)</t>
  </si>
  <si>
    <t xml:space="preserve">B. Rosen - Sudam Memo</t>
  </si>
  <si>
    <t xml:space="preserve">Shareholder Agreement</t>
  </si>
  <si>
    <t xml:space="preserve">Standard Assumption</t>
  </si>
  <si>
    <t xml:space="preserve">Basis</t>
  </si>
  <si>
    <t xml:space="preserve">Term (Yrs)</t>
  </si>
  <si>
    <t xml:space="preserve">Item #9 (Check Rate With B. Rosen)</t>
  </si>
  <si>
    <t xml:space="preserve">Term Of Contract</t>
  </si>
  <si>
    <t xml:space="preserve">Schedule 1</t>
  </si>
  <si>
    <t xml:space="preserve">$R / US$</t>
  </si>
  <si>
    <t xml:space="preserve">Bid Date</t>
  </si>
  <si>
    <t xml:space="preserve">INE Issuance Paragraph 3</t>
  </si>
  <si>
    <t xml:space="preserve">B. Blesie - Verbak</t>
  </si>
  <si>
    <t xml:space="preserve">B. Blesie</t>
  </si>
  <si>
    <t xml:space="preserve">Need Documentation</t>
  </si>
  <si>
    <t xml:space="preserve">REFERENCE SHEET - 3</t>
  </si>
  <si>
    <t xml:space="preserve">EPE/SCC - EPC Contract</t>
  </si>
  <si>
    <t xml:space="preserve">Exhibit C-1</t>
  </si>
  <si>
    <t xml:space="preserve">Monthly Progress Report</t>
  </si>
  <si>
    <t xml:space="preserve">T. Whipple</t>
  </si>
  <si>
    <t xml:space="preserve">Pipeline Cost Summary (Section E)</t>
  </si>
  <si>
    <t xml:space="preserve">EPC Contract Issues</t>
  </si>
  <si>
    <t xml:space="preserve">N. Khan/Alan Smithe</t>
  </si>
  <si>
    <t xml:space="preserve">Update New Change Orders</t>
  </si>
  <si>
    <t xml:space="preserve">M. Schulz - Schedule</t>
  </si>
  <si>
    <t xml:space="preserve">M. Schulz</t>
  </si>
  <si>
    <t xml:space="preserve">Budget Review - 05/18/99</t>
  </si>
  <si>
    <t xml:space="preserve">Exhibit C-2 Section II, Paragraph C</t>
  </si>
  <si>
    <t xml:space="preserve">E. Rengade - Memo</t>
  </si>
  <si>
    <t xml:space="preserve">E. Rengade</t>
  </si>
  <si>
    <t xml:space="preserve">Budget Review - 05/14/99</t>
  </si>
  <si>
    <t xml:space="preserve">Budget Review - 08/31/99</t>
  </si>
  <si>
    <t xml:space="preserve">Abe Moreno - Memo</t>
  </si>
  <si>
    <t xml:space="preserve">A. Moreno</t>
  </si>
  <si>
    <t xml:space="preserve">Update Indigenous People Details</t>
  </si>
  <si>
    <t xml:space="preserve">Premium $875K, Taxes $178K</t>
  </si>
  <si>
    <t xml:space="preserve">No Development Fee On Project</t>
  </si>
  <si>
    <t xml:space="preserve">Standard Calculation</t>
  </si>
  <si>
    <t xml:space="preserve">Share Purchase Agreement</t>
  </si>
  <si>
    <t xml:space="preserve">Dual Dates</t>
  </si>
  <si>
    <t xml:space="preserve">Balance Of Remaining Shares</t>
  </si>
  <si>
    <t xml:space="preserve">Enron/Shell Share Transfer - 1st Paragraph</t>
  </si>
  <si>
    <t xml:space="preserve">Enron/Transrd Share Transfer - 1st Paragraph</t>
  </si>
  <si>
    <t xml:space="preserve">Project &amp; Enron Economics</t>
  </si>
  <si>
    <t xml:space="preserve">Per Dulaney Ccmail 6/18/97</t>
  </si>
  <si>
    <t xml:space="preserve">RAROC / RADR</t>
  </si>
  <si>
    <t xml:space="preserve">REFERENCE SHEET - 4</t>
  </si>
  <si>
    <t xml:space="preserve">Financing Plan</t>
  </si>
  <si>
    <t xml:space="preserve">Awaiting Final Termsheets</t>
  </si>
  <si>
    <t xml:space="preserve">REFERENCE SHEET - 5</t>
  </si>
  <si>
    <t xml:space="preserve">Target DSCR</t>
  </si>
  <si>
    <t xml:space="preserve">Per Conversations With OPIC</t>
  </si>
  <si>
    <t xml:space="preserve">Pre-Tax DSCR</t>
  </si>
  <si>
    <t xml:space="preserve">After-Tax DSCR</t>
  </si>
  <si>
    <t xml:space="preserve">Chapter 11 - Financial Analysis</t>
  </si>
  <si>
    <t xml:space="preserve">Shareholder Funding Agreement</t>
  </si>
  <si>
    <t xml:space="preserve">Schedule 1 - Paragraph 1</t>
  </si>
  <si>
    <t xml:space="preserve">Enron Cost OF Funds</t>
  </si>
  <si>
    <t xml:space="preserve">C. Estrems</t>
  </si>
  <si>
    <t xml:space="preserve">Per Jeff Sommers' Memo</t>
  </si>
  <si>
    <t xml:space="preserve">APPENDIX I - TRANSPORTATION REVENUES ($000)</t>
  </si>
  <si>
    <t xml:space="preserve">Links From TBS Model</t>
  </si>
  <si>
    <t xml:space="preserve">TBS Transportation Revenues</t>
  </si>
  <si>
    <t xml:space="preserve">Monthly Vol</t>
  </si>
  <si>
    <t xml:space="preserve">Capacity</t>
  </si>
  <si>
    <t xml:space="preserve">Variable</t>
  </si>
  <si>
    <t xml:space="preserve">Monthly</t>
  </si>
  <si>
    <t xml:space="preserve">Annual</t>
  </si>
  <si>
    <t xml:space="preserve">Per</t>
  </si>
  <si>
    <t xml:space="preserve">@ GasBol</t>
  </si>
  <si>
    <t xml:space="preserve">Charge</t>
  </si>
  <si>
    <t xml:space="preserve">Payment</t>
  </si>
  <si>
    <t xml:space="preserve">Expense</t>
  </si>
  <si>
    <t xml:space="preserve">Date</t>
  </si>
  <si>
    <t xml:space="preserve">Month</t>
  </si>
  <si>
    <t xml:space="preserve">Unesc</t>
  </si>
  <si>
    <t xml:space="preserve">Transported</t>
  </si>
  <si>
    <t xml:space="preserve">Escalated</t>
  </si>
  <si>
    <t xml:space="preserve">US $000</t>
  </si>
  <si>
    <t xml:space="preserve">Total GasBol Transport Revenues</t>
  </si>
  <si>
    <t xml:space="preserve">&lt;=== Offset For "Revenue_Table"</t>
  </si>
  <si>
    <t xml:space="preserve">PRICING CURVES</t>
  </si>
  <si>
    <t xml:space="preserve">Column "L" is the offset for the table "Dec_Change"</t>
  </si>
  <si>
    <t xml:space="preserve">TBS &amp; GasMat</t>
  </si>
  <si>
    <t xml:space="preserve">Greater Of</t>
  </si>
  <si>
    <t xml:space="preserve">Change In Index</t>
  </si>
  <si>
    <t xml:space="preserve">Or</t>
  </si>
  <si>
    <t xml:space="preserve">Date Of 1st Change</t>
  </si>
  <si>
    <t xml:space="preserve">Brazil</t>
  </si>
  <si>
    <t xml:space="preserve">US</t>
  </si>
  <si>
    <t xml:space="preserve">Platt's</t>
  </si>
  <si>
    <t xml:space="preserve">R$ / $</t>
  </si>
  <si>
    <t xml:space="preserve">CPI Less</t>
  </si>
  <si>
    <t xml:space="preserve">Cumul</t>
  </si>
  <si>
    <t xml:space="preserve">IGP-DI</t>
  </si>
  <si>
    <t xml:space="preserve">CPI</t>
  </si>
  <si>
    <t xml:space="preserve">PPI</t>
  </si>
  <si>
    <t xml:space="preserve">WTI</t>
  </si>
  <si>
    <t xml:space="preserve">FX</t>
  </si>
  <si>
    <t xml:space="preserve">Change</t>
  </si>
  <si>
    <t xml:space="preserve">&lt;==== Offset For "Curves Table"</t>
  </si>
</sst>
</file>

<file path=xl/styles.xml><?xml version="1.0" encoding="utf-8"?>
<styleSheet xmlns="http://schemas.openxmlformats.org/spreadsheetml/2006/main">
  <numFmts count="81">
    <numFmt numFmtId="164" formatCode="General"/>
    <numFmt numFmtId="165" formatCode="#,###.#"/>
    <numFmt numFmtId="166" formatCode="#.0%"/>
    <numFmt numFmtId="167" formatCode="#,###.0#"/>
    <numFmt numFmtId="168" formatCode="[$-409]#,##0_);[RED]\(#,##0\)"/>
    <numFmt numFmtId="169" formatCode="\$#,##0_);[RED]&quot;($&quot;#,##0\)"/>
    <numFmt numFmtId="170" formatCode="\X"/>
    <numFmt numFmtId="171" formatCode="0.000000000_)"/>
    <numFmt numFmtId="172" formatCode="#,###.##"/>
    <numFmt numFmtId="173" formatCode="m/d"/>
    <numFmt numFmtId="174" formatCode="000"/>
    <numFmt numFmtId="175" formatCode="#.##%"/>
    <numFmt numFmtId="176" formatCode="0000&quot; - &quot;0000"/>
    <numFmt numFmtId="177" formatCode="[$-409]#,##0.00_);[RED]\(#,##0.00\)"/>
    <numFmt numFmtId="178" formatCode="\$#,##0.00_);[RED]&quot;($&quot;#,##0.00\)"/>
    <numFmt numFmtId="179" formatCode="0;[RED]0"/>
    <numFmt numFmtId="180" formatCode="m\-d\-yy"/>
    <numFmt numFmtId="181" formatCode="_-* #,##0_-;\-* #,##0_-;_-* \-_-;_-@_-"/>
    <numFmt numFmtId="182" formatCode="_(* #,##0_);_(* \(#,##0\);_(* \-_);_(@_)"/>
    <numFmt numFmtId="183" formatCode="\£#,##0.00;&quot;-£&quot;#,##0.00"/>
    <numFmt numFmtId="184" formatCode="#,###_)"/>
    <numFmt numFmtId="185" formatCode="\£#,##0;&quot;-£&quot;#,##0"/>
    <numFmt numFmtId="186" formatCode="0.000"/>
    <numFmt numFmtId="187" formatCode="_-* #,##0.00_-;\-* #,##0.00_-;_-* \-??_-;_-@_-"/>
    <numFmt numFmtId="188" formatCode="#,##0.00"/>
    <numFmt numFmtId="189" formatCode="_(* #,##0.00_);_(* \(#,##0.00\);_(* \-??_);_(@_)"/>
    <numFmt numFmtId="190" formatCode="_-\£* #,##0_-;&quot;-£&quot;* #,##0_-;_-\£* \-_-;_-@_-"/>
    <numFmt numFmtId="191" formatCode="_-\$* #,##0_-;&quot;-$&quot;* #,##0_-;_-\$* \-_-;_-@_-"/>
    <numFmt numFmtId="192" formatCode="0000"/>
    <numFmt numFmtId="193" formatCode="\$#,##0;[RED]&quot;-$&quot;#,##0"/>
    <numFmt numFmtId="194" formatCode="_(\$* #,##0_);_(\$* \(#,##0\);_(\$* \-_);_(@_)"/>
    <numFmt numFmtId="195" formatCode="0.0000000000_)"/>
    <numFmt numFmtId="196" formatCode="#,##0.000_);\(#,##0.000\)"/>
    <numFmt numFmtId="197" formatCode="00\-000"/>
    <numFmt numFmtId="198" formatCode="#.#%"/>
    <numFmt numFmtId="199" formatCode="\£#,##0;[RED]&quot;-£&quot;#,##0"/>
    <numFmt numFmtId="200" formatCode="#,###"/>
    <numFmt numFmtId="201" formatCode="00\-000_)"/>
    <numFmt numFmtId="202" formatCode="mmm"/>
    <numFmt numFmtId="203" formatCode="_-\£* #,##0.00_-;&quot;-£&quot;* #,##0.00_-;_-\£* \-??_-;_-@_-"/>
    <numFmt numFmtId="204" formatCode="_(* #,##0.0000_);_(* \(#,##0.0000\);_(* \-??_);_(@_)"/>
    <numFmt numFmtId="205" formatCode="_-\$* #,##0.00_-;&quot;-$&quot;* #,##0.00_-;_-\$* \-??_-;_-@_-"/>
    <numFmt numFmtId="206" formatCode="\$#,##0.00;[RED]&quot;-$&quot;#,##0.00"/>
    <numFmt numFmtId="207" formatCode="_(\$* #,##0.00_);_(\$* \(#,##0.00\);_(\$* \-??_);_(@_)"/>
    <numFmt numFmtId="208" formatCode="#,##0.000_);[RED]\(#,##0.000\)"/>
    <numFmt numFmtId="209" formatCode="0.00000000000_)"/>
    <numFmt numFmtId="210" formatCode="00"/>
    <numFmt numFmtId="211" formatCode="0.00"/>
    <numFmt numFmtId="212" formatCode=";;;"/>
    <numFmt numFmtId="213" formatCode="[$-409]#,##0_);\(#,##0\)"/>
    <numFmt numFmtId="214" formatCode="0.00_)"/>
    <numFmt numFmtId="215" formatCode="\10000000"/>
    <numFmt numFmtId="216" formatCode="General_)"/>
    <numFmt numFmtId="217" formatCode="#,##0"/>
    <numFmt numFmtId="218" formatCode="#,##0.0_);\(#,##0.0\)"/>
    <numFmt numFmtId="219" formatCode="#,##0.0000_);[RED]\(#,##0.0000\)"/>
    <numFmt numFmtId="220" formatCode="0"/>
    <numFmt numFmtId="221" formatCode="0.00%"/>
    <numFmt numFmtId="222" formatCode="@"/>
    <numFmt numFmtId="223" formatCode="0_);\(0\)"/>
    <numFmt numFmtId="224" formatCode="\$#,##0_);&quot;($&quot;#,##0\)"/>
    <numFmt numFmtId="225" formatCode="[$R$ -416]#,##0_);\([$R$ -416]#,##0\)"/>
    <numFmt numFmtId="226" formatCode="0%"/>
    <numFmt numFmtId="227" formatCode="[$-409]mmm\-yy"/>
    <numFmt numFmtId="228" formatCode="0.0"/>
    <numFmt numFmtId="229" formatCode="[$-409]d\-mmm"/>
    <numFmt numFmtId="230" formatCode="\$#,##0.0000_);&quot;($&quot;#,##0.0000\)"/>
    <numFmt numFmtId="231" formatCode="\$#,##0.00_);&quot;($&quot;#,##0.00\)"/>
    <numFmt numFmtId="232" formatCode="&quot;On&quot;;;&quot;Off&quot;"/>
    <numFmt numFmtId="233" formatCode="&quot;Yes&quot;;;&quot;No&quot;"/>
    <numFmt numFmtId="234" formatCode="0.0000"/>
    <numFmt numFmtId="235" formatCode="0.00_);[RED]\(0.00\)"/>
    <numFmt numFmtId="236" formatCode="0.0%"/>
    <numFmt numFmtId="237" formatCode="[$-409]#,##0.00_);\(#,##0.00\)"/>
    <numFmt numFmtId="238" formatCode="#,##0.0000000000_);\(#,##0.0000000000\)"/>
    <numFmt numFmtId="239" formatCode="_(\$* #,##0_);_(\$* \(#,##0\);_(\$* \-??_);_(@_)"/>
    <numFmt numFmtId="240" formatCode="_(* #,##0.0_);_(* \(#,##0.0\);_(* \-??_);_(@_)"/>
    <numFmt numFmtId="241" formatCode="[$-409]m/d/yyyy"/>
    <numFmt numFmtId="242" formatCode="#,##0.0000_);\(#,##0.0000\)"/>
    <numFmt numFmtId="243" formatCode="[$-409]d\-mmm\-yy"/>
    <numFmt numFmtId="244" formatCode="mm/dd/yy"/>
  </numFmts>
  <fonts count="1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10"/>
      <name val="Times New Roman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8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2"/>
      <name val="Arial"/>
      <family val="2"/>
    </font>
    <font>
      <b val="true"/>
      <sz val="14"/>
      <color rgb="FF0000FF"/>
      <name val="Arial"/>
      <family val="2"/>
    </font>
    <font>
      <b val="true"/>
      <sz val="12"/>
      <color rgb="FF0000FF"/>
      <name val="Arial"/>
      <family val="2"/>
    </font>
    <font>
      <b val="true"/>
      <sz val="11"/>
      <name val="Arial"/>
      <family val="2"/>
    </font>
    <font>
      <sz val="11"/>
      <name val="Arial"/>
      <family val="2"/>
    </font>
    <font>
      <b val="true"/>
      <sz val="11"/>
      <color rgb="FFFF0000"/>
      <name val="Arial"/>
      <family val="2"/>
    </font>
    <font>
      <b val="true"/>
      <u val="single"/>
      <sz val="12"/>
      <name val="Arial"/>
      <family val="2"/>
    </font>
    <font>
      <b val="true"/>
      <u val="single"/>
      <sz val="10"/>
      <name val="Arial"/>
      <family val="2"/>
    </font>
    <font>
      <b val="true"/>
      <sz val="9"/>
      <color rgb="FFFF0000"/>
      <name val="arial"/>
      <family val="2"/>
    </font>
    <font>
      <b val="true"/>
      <sz val="11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b val="true"/>
      <u val="single"/>
      <sz val="10"/>
      <color rgb="FF000000"/>
      <name val="Arial"/>
      <family val="2"/>
    </font>
    <font>
      <i val="true"/>
      <sz val="8"/>
      <name val="Arial"/>
      <family val="2"/>
    </font>
    <font>
      <sz val="10"/>
      <color rgb="FF000000"/>
      <name val="Arial"/>
      <family val="2"/>
    </font>
    <font>
      <b val="true"/>
      <i val="true"/>
      <sz val="10"/>
      <name val="Arial"/>
      <family val="2"/>
    </font>
    <font>
      <sz val="10"/>
      <color rgb="FFFF00FF"/>
      <name val="arial"/>
      <family val="2"/>
    </font>
    <font>
      <i val="true"/>
      <sz val="9"/>
      <name val="Arial"/>
      <family val="2"/>
    </font>
    <font>
      <i val="true"/>
      <sz val="10"/>
      <color rgb="FF0000FF"/>
      <name val="Arial"/>
      <family val="2"/>
    </font>
    <font>
      <u val="single"/>
      <sz val="10"/>
      <name val="Arial"/>
      <family val="2"/>
    </font>
    <font>
      <u val="single"/>
      <sz val="10"/>
      <color rgb="FF000000"/>
      <name val="arial"/>
      <family val="2"/>
    </font>
    <font>
      <b val="true"/>
      <sz val="10"/>
      <color rgb="FFFF00FF"/>
      <name val="arial"/>
      <family val="2"/>
    </font>
    <font>
      <sz val="9"/>
      <name val="Arial"/>
      <family val="2"/>
    </font>
    <font>
      <b val="true"/>
      <sz val="10"/>
      <color rgb="FF000000"/>
      <name val="Arial"/>
      <family val="2"/>
    </font>
    <font>
      <u val="singl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i val="true"/>
      <u val="single"/>
      <sz val="10"/>
      <name val="Arial"/>
      <family val="2"/>
    </font>
    <font>
      <i val="true"/>
      <sz val="8"/>
      <color rgb="FFFFFFFF"/>
      <name val="arial"/>
      <family val="2"/>
    </font>
    <font>
      <b val="true"/>
      <sz val="10"/>
      <color rgb="FF0000FF"/>
      <name val="arial"/>
      <family val="2"/>
    </font>
    <font>
      <u val="double"/>
      <sz val="10"/>
      <color rgb="FF000000"/>
      <name val="Arial"/>
      <family val="2"/>
    </font>
    <font>
      <i val="true"/>
      <u val="singl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2"/>
      <name val="Arial"/>
      <family val="2"/>
    </font>
    <font>
      <b val="true"/>
      <i val="true"/>
      <sz val="10"/>
      <color rgb="FFFF0000"/>
      <name val="Arial"/>
      <family val="2"/>
    </font>
    <font>
      <i val="true"/>
      <sz val="9"/>
      <color rgb="FFFF0000"/>
      <name val="Arial"/>
      <family val="2"/>
    </font>
    <font>
      <b val="true"/>
      <i val="true"/>
      <sz val="10"/>
      <color rgb="FFFF00FF"/>
      <name val="arial"/>
      <family val="2"/>
    </font>
    <font>
      <u val="double"/>
      <sz val="10"/>
      <name val="arial"/>
      <family val="2"/>
    </font>
    <font>
      <b val="true"/>
      <i val="true"/>
      <sz val="9"/>
      <name val="Arial"/>
      <family val="2"/>
    </font>
    <font>
      <b val="true"/>
      <sz val="12"/>
      <color rgb="FF000000"/>
      <name val="Arial"/>
      <family val="2"/>
    </font>
    <font>
      <sz val="11"/>
      <color rgb="FF0000FF"/>
      <name val="Arial"/>
      <family val="2"/>
    </font>
    <font>
      <b val="true"/>
      <i val="true"/>
      <u val="single"/>
      <sz val="10"/>
      <name val="Arial"/>
      <family val="2"/>
    </font>
    <font>
      <b val="true"/>
      <i val="true"/>
      <u val="single"/>
      <sz val="9"/>
      <name val="Arial"/>
      <family val="2"/>
    </font>
    <font>
      <b val="true"/>
      <i val="true"/>
      <sz val="9"/>
      <color rgb="FFFF0000"/>
      <name val="arial"/>
      <family val="2"/>
    </font>
    <font>
      <u val="single"/>
      <sz val="10"/>
      <color rgb="FFFF00FF"/>
      <name val="Arial"/>
      <family val="2"/>
    </font>
    <font>
      <i val="true"/>
      <sz val="10"/>
      <color rgb="FFFF00FF"/>
      <name val="Arial"/>
      <family val="2"/>
    </font>
    <font>
      <i val="true"/>
      <sz val="10"/>
      <color rgb="FFFFFFFF"/>
      <name val="arial"/>
      <family val="2"/>
    </font>
    <font>
      <b val="true"/>
      <sz val="14"/>
      <name val="Arial"/>
      <family val="2"/>
    </font>
    <font>
      <i val="true"/>
      <sz val="8"/>
      <color rgb="FF0000FF"/>
      <name val="arial"/>
      <family val="2"/>
    </font>
    <font>
      <i val="true"/>
      <sz val="9"/>
      <color rgb="FF0000FF"/>
      <name val="Arial"/>
      <family val="2"/>
    </font>
    <font>
      <i val="true"/>
      <sz val="8"/>
      <color rgb="FFFF00FF"/>
      <name val="arial"/>
      <family val="2"/>
    </font>
    <font>
      <b val="true"/>
      <u val="single"/>
      <sz val="10"/>
      <color rgb="FF0000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9CCF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E3E3E3"/>
        <bgColor rgb="FFCCFFCC"/>
      </patternFill>
    </fill>
    <fill>
      <patternFill patternType="solid">
        <fgColor rgb="FFC0C0C0"/>
        <bgColor rgb="FF99CCFF"/>
      </patternFill>
    </fill>
    <fill>
      <patternFill patternType="solid">
        <fgColor rgb="FF008000"/>
        <bgColor rgb="FF008080"/>
      </patternFill>
    </fill>
    <fill>
      <patternFill patternType="solid">
        <fgColor rgb="FFCC99FF"/>
        <bgColor rgb="FF9999FF"/>
      </patternFill>
    </fill>
    <fill>
      <patternFill patternType="solid">
        <fgColor rgb="FF339966"/>
        <bgColor rgb="FF00808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</fills>
  <borders count="118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>
        <color rgb="FFFFFFFF"/>
      </right>
      <top style="medium"/>
      <bottom style="medium">
        <color rgb="FFFFFFFF"/>
      </bottom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dashDot"/>
      <bottom/>
      <diagonal/>
    </border>
    <border diagonalUp="false" diagonalDown="false">
      <left/>
      <right/>
      <top style="dashDot"/>
      <bottom/>
      <diagonal/>
    </border>
    <border diagonalUp="false" diagonalDown="false">
      <left/>
      <right style="medium"/>
      <top style="dashDot"/>
      <bottom/>
      <diagonal/>
    </border>
    <border diagonalUp="false" diagonalDown="false">
      <left style="medium"/>
      <right style="medium"/>
      <top style="medium"/>
      <bottom style="dashDot"/>
      <diagonal/>
    </border>
    <border diagonalUp="false" diagonalDown="false">
      <left style="medium"/>
      <right style="medium"/>
      <top style="dashDot"/>
      <bottom style="medium"/>
      <diagonal/>
    </border>
    <border diagonalUp="false" diagonalDown="false">
      <left style="medium"/>
      <right/>
      <top style="dashDot"/>
      <bottom style="medium"/>
      <diagonal/>
    </border>
    <border diagonalUp="false" diagonalDown="false">
      <left/>
      <right/>
      <top style="dashDot"/>
      <bottom style="medium"/>
      <diagonal/>
    </border>
    <border diagonalUp="false" diagonalDown="false">
      <left/>
      <right style="medium"/>
      <top style="dashDot"/>
      <bottom style="medium"/>
      <diagonal/>
    </border>
    <border diagonalUp="false" diagonalDown="false">
      <left style="medium"/>
      <right/>
      <top style="medium"/>
      <bottom style="medium">
        <color rgb="FFFFFFFF"/>
      </bottom>
      <diagonal/>
    </border>
    <border diagonalUp="false" diagonalDown="false">
      <left/>
      <right style="medium">
        <color rgb="FFFFFFFF"/>
      </right>
      <top style="medium"/>
      <bottom style="medium">
        <color rgb="FFFFFFFF"/>
      </bottom>
      <diagonal/>
    </border>
    <border diagonalUp="false" diagonalDown="false">
      <left style="medium"/>
      <right/>
      <top style="dashDot"/>
      <bottom style="dashDot"/>
      <diagonal/>
    </border>
    <border diagonalUp="false" diagonalDown="false">
      <left/>
      <right/>
      <top style="dashDot"/>
      <bottom style="dashDot"/>
      <diagonal/>
    </border>
    <border diagonalUp="false" diagonalDown="false">
      <left/>
      <right style="medium"/>
      <top style="dashDot"/>
      <bottom style="dashDot"/>
      <diagonal/>
    </border>
    <border diagonalUp="false" diagonalDown="false">
      <left style="medium">
        <color rgb="FFFFFFFF"/>
      </left>
      <right/>
      <top style="medium"/>
      <bottom/>
      <diagonal/>
    </border>
    <border diagonalUp="false" diagonalDown="false">
      <left style="medium"/>
      <right/>
      <top/>
      <bottom style="dashDot"/>
      <diagonal/>
    </border>
    <border diagonalUp="false" diagonalDown="false">
      <left/>
      <right/>
      <top/>
      <bottom style="dashDot"/>
      <diagonal/>
    </border>
    <border diagonalUp="false" diagonalDown="false">
      <left/>
      <right style="medium"/>
      <top/>
      <bottom style="dashDot"/>
      <diagonal/>
    </border>
    <border diagonalUp="false" diagonalDown="false">
      <left style="medium"/>
      <right/>
      <top style="medium">
        <color rgb="FFFFFFFF"/>
      </top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thin">
        <color rgb="FFFFFFFF"/>
      </top>
      <bottom style="thin">
        <color rgb="FFC0C0C0"/>
      </bottom>
      <diagonal/>
    </border>
    <border diagonalUp="false" diagonalDown="false">
      <left/>
      <right/>
      <top style="thin">
        <color rgb="FFFFFFFF"/>
      </top>
      <bottom style="thin">
        <color rgb="FFC0C0C0"/>
      </bottom>
      <diagonal/>
    </border>
    <border diagonalUp="false" diagonalDown="false">
      <left style="medium"/>
      <right style="medium"/>
      <top style="thin">
        <color rgb="FFFFFFFF"/>
      </top>
      <bottom style="thin">
        <color rgb="FFC0C0C0"/>
      </bottom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/>
      <right style="thin">
        <color rgb="FFC0C0C0"/>
      </right>
      <top style="thin">
        <color rgb="FFFFFFFF"/>
      </top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/>
      <right style="thin">
        <color rgb="FFC0C0C0"/>
      </right>
      <top/>
      <bottom/>
      <diagonal/>
    </border>
    <border diagonalUp="false" diagonalDown="false">
      <left style="thin">
        <color rgb="FFFFFFFF"/>
      </left>
      <right/>
      <top/>
      <bottom style="medium"/>
      <diagonal/>
    </border>
    <border diagonalUp="false" diagonalDown="false">
      <left/>
      <right style="thin">
        <color rgb="FFC0C0C0"/>
      </right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>
        <color rgb="FFFFFFFF"/>
      </left>
      <right/>
      <top/>
      <bottom style="thin"/>
      <diagonal/>
    </border>
    <border diagonalUp="false" diagonalDown="false">
      <left/>
      <right style="thin">
        <color rgb="FFC0C0C0"/>
      </right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>
        <color rgb="FFFFFFFF"/>
      </top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 style="thin">
        <color rgb="FFFFFFFF"/>
      </top>
      <bottom/>
      <diagonal/>
    </border>
    <border diagonalUp="false" diagonalDown="false">
      <left style="medium"/>
      <right/>
      <top/>
      <bottom style="thin">
        <color rgb="FFC0C0C0"/>
      </bottom>
      <diagonal/>
    </border>
    <border diagonalUp="false" diagonalDown="false">
      <left/>
      <right/>
      <top/>
      <bottom style="thin">
        <color rgb="FFC0C0C0"/>
      </bottom>
      <diagonal/>
    </border>
    <border diagonalUp="false" diagonalDown="false">
      <left style="medium"/>
      <right style="medium"/>
      <top/>
      <bottom style="thin">
        <color rgb="FFC0C0C0"/>
      </bottom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FFFFFF"/>
      </bottom>
      <diagonal/>
    </border>
    <border diagonalUp="false" diagonalDown="false">
      <left/>
      <right/>
      <top style="thin">
        <color rgb="FFC0C0C0"/>
      </top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C0C0C0"/>
      </top>
      <bottom style="thin">
        <color rgb="FFFFFFFF"/>
      </bottom>
      <diagonal/>
    </border>
    <border diagonalUp="false" diagonalDown="false">
      <left style="medium"/>
      <right/>
      <top style="thin">
        <color rgb="FFC0C0C0"/>
      </top>
      <bottom/>
      <diagonal/>
    </border>
    <border diagonalUp="false" diagonalDown="false">
      <left/>
      <right/>
      <top style="thin">
        <color rgb="FFC0C0C0"/>
      </top>
      <bottom/>
      <diagonal/>
    </border>
    <border diagonalUp="false" diagonalDown="false">
      <left style="medium"/>
      <right style="medium"/>
      <top style="thin">
        <color rgb="FFC0C0C0"/>
      </top>
      <bottom/>
      <diagonal/>
    </border>
    <border diagonalUp="false" diagonalDown="false">
      <left style="thin">
        <color rgb="FF969696"/>
      </left>
      <right/>
      <top style="thin">
        <color rgb="FF969696"/>
      </top>
      <bottom style="thin">
        <color rgb="FFFFFFFF"/>
      </bottom>
      <diagonal/>
    </border>
    <border diagonalUp="false" diagonalDown="false">
      <left/>
      <right/>
      <top style="thin">
        <color rgb="FF969696"/>
      </top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969696"/>
      </top>
      <bottom style="thin">
        <color rgb="FFFFFFFF"/>
      </bottom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thin">
        <color rgb="FFC0C0C0"/>
      </right>
      <top/>
      <bottom style="thin">
        <color rgb="FFC0C0C0"/>
      </bottom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thin">
        <color rgb="FFC0C0C0"/>
      </left>
      <right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dashDot">
        <color rgb="FF808080"/>
      </left>
      <right style="dashDot">
        <color rgb="FF808080"/>
      </right>
      <top style="thin">
        <color rgb="FFFFFFFF"/>
      </top>
      <bottom/>
      <diagonal/>
    </border>
    <border diagonalUp="false" diagonalDown="false">
      <left/>
      <right style="dashDot">
        <color rgb="FF808080"/>
      </right>
      <top style="thin">
        <color rgb="FFFFFFFF"/>
      </top>
      <bottom/>
      <diagonal/>
    </border>
    <border diagonalUp="false" diagonalDown="false">
      <left style="dashDot">
        <color rgb="FF808080"/>
      </left>
      <right style="dashDot">
        <color rgb="FF808080"/>
      </right>
      <top/>
      <bottom/>
      <diagonal/>
    </border>
    <border diagonalUp="false" diagonalDown="false">
      <left/>
      <right style="dashDot">
        <color rgb="FF808080"/>
      </right>
      <top/>
      <bottom/>
      <diagonal/>
    </border>
    <border diagonalUp="false" diagonalDown="false">
      <left style="dashDot">
        <color rgb="FF808080"/>
      </left>
      <right style="dashDot">
        <color rgb="FF808080"/>
      </right>
      <top/>
      <bottom style="thin">
        <color rgb="FFC0C0C0"/>
      </bottom>
      <diagonal/>
    </border>
    <border diagonalUp="false" diagonalDown="false">
      <left/>
      <right style="dashDot">
        <color rgb="FF808080"/>
      </right>
      <top/>
      <bottom style="thin">
        <color rgb="FFC0C0C0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>
        <color rgb="FFFFFFFF"/>
      </left>
      <right style="thin">
        <color rgb="FFC0C0C0"/>
      </right>
      <top style="thin">
        <color rgb="FFFFFFFF"/>
      </top>
      <bottom style="thin">
        <color rgb="FFC0C0C0"/>
      </bottom>
      <diagonal/>
    </border>
    <border diagonalUp="false" diagonalDown="false">
      <left/>
      <right style="dashDot"/>
      <top style="medium"/>
      <bottom/>
      <diagonal/>
    </border>
    <border diagonalUp="false" diagonalDown="false">
      <left style="dashDot"/>
      <right/>
      <top style="medium"/>
      <bottom/>
      <diagonal/>
    </border>
    <border diagonalUp="false" diagonalDown="false">
      <left/>
      <right style="dashDot"/>
      <top/>
      <bottom/>
      <diagonal/>
    </border>
    <border diagonalUp="false" diagonalDown="false">
      <left style="dashDot"/>
      <right/>
      <top/>
      <bottom/>
      <diagonal/>
    </border>
    <border diagonalUp="false" diagonalDown="false">
      <left/>
      <right style="dashDot"/>
      <top/>
      <bottom style="medium"/>
      <diagonal/>
    </border>
    <border diagonalUp="false" diagonalDown="false">
      <left style="dashDot"/>
      <right/>
      <top/>
      <bottom style="medium"/>
      <diagonal/>
    </border>
  </borders>
  <cellStyleXfs count="1556"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9" fontId="0" fillId="2" borderId="0" applyFont="true" applyBorder="false" applyAlignment="false" applyProtection="false"/>
    <xf numFmtId="41" fontId="1" fillId="0" borderId="0" applyFont="true" applyBorder="false" applyAlignment="false" applyProtection="false"/>
    <xf numFmtId="207" fontId="0" fillId="2" borderId="0" applyFont="true" applyBorder="false" applyAlignment="false" applyProtection="false"/>
    <xf numFmtId="42" fontId="1" fillId="0" borderId="0" applyFont="true" applyBorder="false" applyAlignment="false" applyProtection="false"/>
    <xf numFmtId="226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0" applyFont="true" applyBorder="false" applyAlignment="false" applyProtection="false"/>
    <xf numFmtId="17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2" fillId="3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6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8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1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</cellStyleXfs>
  <cellXfs count="1264"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64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1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5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8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8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8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8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9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9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1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6" fontId="1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3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0" fontId="84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1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3" fontId="6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0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0" fontId="16" fillId="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7" fontId="1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4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7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3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7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68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4" fontId="7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4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3" fontId="1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3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7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8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16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83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83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7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3" fontId="1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3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9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16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3" fontId="64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0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3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9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8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6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8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0" fillId="6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8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6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8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68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6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82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82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2" fillId="5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2" fillId="5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8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8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82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8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7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6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3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5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5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68" fillId="7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7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68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3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8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4" fontId="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9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9" fillId="8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5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68" fillId="8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8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8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7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7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5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9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9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1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1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4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0" fontId="9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3" fontId="7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2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5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7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7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8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78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8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3" fillId="11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3" fillId="11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11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3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5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5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5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68" fillId="5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2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78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5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7" fontId="9" fillId="2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9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7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5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73" fillId="5" borderId="5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9" fillId="5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7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78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5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7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4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1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1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16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6" fontId="16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8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3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68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5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04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04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4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04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5" fillId="5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5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5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69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68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4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5" borderId="5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6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6" fontId="9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6" fontId="9" fillId="2" borderId="6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8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7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8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68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7" fillId="2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8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68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75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5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3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2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80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5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5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8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8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8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9" fillId="2" borderId="6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0" fillId="6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8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9" fillId="6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83" fillId="4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6" fontId="7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4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9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5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5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5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5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5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8" fillId="5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5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4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3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7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1" fontId="64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78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0" borderId="10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0" borderId="10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0" fillId="0" borderId="10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4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7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0" borderId="10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0" borderId="10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7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7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7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5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16" fillId="4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16" fillId="4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3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7" fontId="9" fillId="2" borderId="8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9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" borderId="8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0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3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6" fontId="9" fillId="2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6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4" fillId="2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1" fontId="9" fillId="0" borderId="67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2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3" fillId="2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2" fontId="78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2" fontId="9" fillId="2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2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6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9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3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9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4" borderId="1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16" fillId="4" borderId="1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3" fontId="64" fillId="2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8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8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1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1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1" fillId="2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8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16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16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8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1" fontId="16" fillId="4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8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" fillId="2" borderId="9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2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2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1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84" fillId="4" borderId="1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1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2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27" fontId="9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77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7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77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4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16" fillId="4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9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6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7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7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0" fillId="0" borderId="10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220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02012000_Epe" xfId="21"/>
    <cellStyle name="?? [0]_94???_demand analysisrevised" xfId="22"/>
    <cellStyle name="?? [0]_94???_demand analysisrevised_02012000_Epe" xfId="23"/>
    <cellStyle name="?? [0]_??" xfId="24"/>
    <cellStyle name="?? [0]_???" xfId="25"/>
    <cellStyle name="?? [0]_?????" xfId="26"/>
    <cellStyle name="?? [0]_?????_02012000_Epe" xfId="27"/>
    <cellStyle name="?? [0]_?????_???" xfId="28"/>
    <cellStyle name="?? [0]_?????_???_02012000_Epe" xfId="29"/>
    <cellStyle name="?? [0]_?????_???_demand analysisrevised" xfId="30"/>
    <cellStyle name="?? [0]_?????_???_demand analysisrevised_02012000_Epe" xfId="31"/>
    <cellStyle name="?? [0]_?????_demand analysisrevised" xfId="32"/>
    <cellStyle name="?? [0]_?????_demand analysisrevised_02012000_Epe" xfId="33"/>
    <cellStyle name="?? [0]_???_02012000_Epe" xfId="34"/>
    <cellStyle name="?? [0]_???_demand analysisrevised" xfId="35"/>
    <cellStyle name="?? [0]_???_demand analysisrevised_02012000_Epe" xfId="36"/>
    <cellStyle name="?? [0]_??_02012000_Epe" xfId="37"/>
    <cellStyle name="?? [0]_??_demand analysisrevised" xfId="38"/>
    <cellStyle name="?? [0]_??_demand analysisrevised_02012000_Epe" xfId="39"/>
    <cellStyle name="?? [0]_dimon" xfId="40"/>
    <cellStyle name="?? [0]_dimon_02012000_Epe" xfId="41"/>
    <cellStyle name="?? [0]_form" xfId="42"/>
    <cellStyle name="?? [0]_form_02012000_Epe" xfId="43"/>
    <cellStyle name="?? [0]_form_demand analysisrevised" xfId="44"/>
    <cellStyle name="?? [0]_form_demand analysisrevised_02012000_Epe" xfId="45"/>
    <cellStyle name="?? [0]_laroux" xfId="46"/>
    <cellStyle name="?? [0]_laroux_02012000_Epe" xfId="47"/>
    <cellStyle name="?? [0]_laroux_1" xfId="48"/>
    <cellStyle name="?? [0]_laroux_1_demand analysisrevised" xfId="49"/>
    <cellStyle name="?? [0]_laroux_2" xfId="50"/>
    <cellStyle name="?? [0]_laroux_2_02012000_Epe" xfId="51"/>
    <cellStyle name="?? [0]_laroux_demand analysisrevised" xfId="52"/>
    <cellStyle name="?? [0]_laroux_demand analysisrevised_02012000_Epe" xfId="53"/>
    <cellStyle name="?? [0]_PERSONAL" xfId="54"/>
    <cellStyle name="?? [0]_PERSONAL_02012000_Epe" xfId="55"/>
    <cellStyle name="?? [0]_PERSONAL_1" xfId="56"/>
    <cellStyle name="?? [0]_PERSONAL_1_demand analysisrevised" xfId="57"/>
    <cellStyle name="?? [0]_PERSONAL_1_demand analysisrevised_02012000_Epe" xfId="58"/>
    <cellStyle name="?? [0]_PERSONAL_2" xfId="59"/>
    <cellStyle name="?? [0]_PERSONAL_2_02012000_Epe" xfId="60"/>
    <cellStyle name="?? [0]_PERSONAL_2_demand analysisrevised" xfId="61"/>
    <cellStyle name="?? [0]_PERSONAL_3" xfId="62"/>
    <cellStyle name="?? [0]_PERSONAL_3_02012000_Epe" xfId="63"/>
    <cellStyle name="?? [0]_PERSONAL_demand analysisrevised" xfId="64"/>
    <cellStyle name="?? [0]_PERSONAL_demand analysisrevised_02012000_Epe" xfId="65"/>
    <cellStyle name="?? [0]_Sheet2" xfId="66"/>
    <cellStyle name="?? [0]_Sheet2_02012000_Epe" xfId="67"/>
    <cellStyle name="??_94???" xfId="68"/>
    <cellStyle name="??_94???_02012000_Epe" xfId="69"/>
    <cellStyle name="??_94???_demand analysisrevised" xfId="70"/>
    <cellStyle name="??_94???_demand analysisrevised_02012000_Epe" xfId="71"/>
    <cellStyle name="??_970120" xfId="72"/>
    <cellStyle name="??_97???" xfId="73"/>
    <cellStyle name="??_?.????" xfId="74"/>
    <cellStyle name="??_??" xfId="75"/>
    <cellStyle name="??_???" xfId="76"/>
    <cellStyle name="??_????" xfId="77"/>
    <cellStyle name="??_?????" xfId="78"/>
    <cellStyle name="??_?????_02012000_Epe" xfId="79"/>
    <cellStyle name="??_?????_1" xfId="80"/>
    <cellStyle name="??_?????_2" xfId="81"/>
    <cellStyle name="??_?????_???" xfId="82"/>
    <cellStyle name="??_?????_???_02012000_Epe" xfId="83"/>
    <cellStyle name="??_?????_???_demand analysisrevised" xfId="84"/>
    <cellStyle name="??_?????_???_demand analysisrevised_02012000_Epe" xfId="85"/>
    <cellStyle name="??_?????_???_demand analysisrevised_1" xfId="86"/>
    <cellStyle name="??_?????_demand analysisrevised" xfId="87"/>
    <cellStyle name="??_?????_demand analysisrevised_02012000_Epe" xfId="88"/>
    <cellStyle name="??_?????_demand analysisrevised_1" xfId="89"/>
    <cellStyle name="??_????_1" xfId="90"/>
    <cellStyle name="??_???_demand analysisrevised" xfId="91"/>
    <cellStyle name="??_???_demand analysisrevised_02012000_Epe" xfId="92"/>
    <cellStyle name="??_???_demand analysisrevised_1" xfId="93"/>
    <cellStyle name="??_???_demand analysisrevised_1_02012000_Epe" xfId="94"/>
    <cellStyle name="??_??_02012000_Epe" xfId="95"/>
    <cellStyle name="??_??_1" xfId="96"/>
    <cellStyle name="??_??_????" xfId="97"/>
    <cellStyle name="??_??_????_demand analysisrevised" xfId="98"/>
    <cellStyle name="??_??_demand analysisrevised" xfId="99"/>
    <cellStyle name="??_??_demand analysisrevised_1" xfId="100"/>
    <cellStyle name="??_??_demand analysisrevised_2" xfId="101"/>
    <cellStyle name="??_??_demand analysisrevised_2_02012000_Epe" xfId="102"/>
    <cellStyle name="??_BEBU_GI" xfId="103"/>
    <cellStyle name="??_dimon" xfId="104"/>
    <cellStyle name="??_dimon_02012000_Epe" xfId="105"/>
    <cellStyle name="??_dimon_demand analysisrevised" xfId="106"/>
    <cellStyle name="??_form" xfId="107"/>
    <cellStyle name="??_form_02012000_Epe" xfId="108"/>
    <cellStyle name="??_form_demand analysisrevised" xfId="109"/>
    <cellStyle name="??_form_demand analysisrevised_02012000_Epe" xfId="110"/>
    <cellStyle name="??_form_demand analysisrevised_1" xfId="111"/>
    <cellStyle name="??_ga_PB" xfId="112"/>
    <cellStyle name="??_laroux" xfId="113"/>
    <cellStyle name="??_laroux_1" xfId="114"/>
    <cellStyle name="??_laroux_1_demand analysisrevised" xfId="115"/>
    <cellStyle name="??_laroux_1_demand analysisrevised_1" xfId="116"/>
    <cellStyle name="??_laroux_2" xfId="117"/>
    <cellStyle name="??_laroux_2_02012000_Epe" xfId="118"/>
    <cellStyle name="??_laroux_2_demand analysisrevised" xfId="119"/>
    <cellStyle name="??_laroux_3" xfId="120"/>
    <cellStyle name="??_laroux_4" xfId="121"/>
    <cellStyle name="??_laroux_5" xfId="122"/>
    <cellStyle name="??_laroux_6" xfId="123"/>
    <cellStyle name="??_laroux_7" xfId="124"/>
    <cellStyle name="??_laroux_8" xfId="125"/>
    <cellStyle name="??_laroux_demand analysisrevised" xfId="126"/>
    <cellStyle name="??_laroux_demand analysisrevised_02012000_Epe" xfId="127"/>
    <cellStyle name="??_laroux_demand analysisrevised_1" xfId="128"/>
    <cellStyle name="??_laroux_demand analysisrevised_1_02012000_Epe" xfId="129"/>
    <cellStyle name="??_PERSONAL" xfId="130"/>
    <cellStyle name="??_PERSONAL_02012000_Epe" xfId="131"/>
    <cellStyle name="??_PERSONAL_1" xfId="132"/>
    <cellStyle name="??_PERSONAL_1_demand analysisrevised" xfId="133"/>
    <cellStyle name="??_PERSONAL_1_demand analysisrevised_1" xfId="134"/>
    <cellStyle name="??_PERSONAL_1_demand analysisrevised_1_02012000_Epe" xfId="135"/>
    <cellStyle name="??_PERSONAL_2" xfId="136"/>
    <cellStyle name="??_PERSONAL_2_02012000_Epe" xfId="137"/>
    <cellStyle name="??_PERSONAL_2_demand analysisrevised" xfId="138"/>
    <cellStyle name="??_PERSONAL_2_demand analysisrevised_1" xfId="139"/>
    <cellStyle name="??_PERSONAL_3" xfId="140"/>
    <cellStyle name="??_PERSONAL_3_02012000_Epe" xfId="141"/>
    <cellStyle name="??_PERSONAL_3_demand analysisrevised" xfId="142"/>
    <cellStyle name="??_PERSONAL_4" xfId="143"/>
    <cellStyle name="??_PERSONAL_demand analysisrevised" xfId="144"/>
    <cellStyle name="??_PERSONAL_demand analysisrevised_1" xfId="145"/>
    <cellStyle name="??_PERSONAL_demand analysisrevised_1_02012000_Epe" xfId="146"/>
    <cellStyle name="??_Query11" xfId="147"/>
    <cellStyle name="??_Sheet1" xfId="148"/>
    <cellStyle name="??_Sheet1 (2)" xfId="149"/>
    <cellStyle name="??_Sheet2" xfId="150"/>
    <cellStyle name="??_Sheet2_02012000_Epe" xfId="151"/>
    <cellStyle name="??_Sheet2_demand analysisrevised" xfId="152"/>
    <cellStyle name="Actual Date" xfId="153"/>
    <cellStyle name="Actual Date_02012000_Epe" xfId="154"/>
    <cellStyle name="Comma [0]_12matrix" xfId="155"/>
    <cellStyle name="Comma [0]_12matrix_02012000_Epe" xfId="156"/>
    <cellStyle name="Comma [0]_1995" xfId="157"/>
    <cellStyle name="Comma [0]_1995_02012000_Epe" xfId="158"/>
    <cellStyle name="Comma [0]_A" xfId="159"/>
    <cellStyle name="Comma [0]_A_02012000_Epe" xfId="160"/>
    <cellStyle name="Comma [0]_A_dimon" xfId="161"/>
    <cellStyle name="Comma [0]_A_dimon_02012000_Epe" xfId="162"/>
    <cellStyle name="Comma [0]_ACTUAL" xfId="163"/>
    <cellStyle name="Comma [0]_ACTUAL NA -OBU" xfId="164"/>
    <cellStyle name="Comma [0]_Actual vs." xfId="165"/>
    <cellStyle name="Comma [0]_algasdefault" xfId="166"/>
    <cellStyle name="Comma [0]_Alternative1" xfId="167"/>
    <cellStyle name="Comma [0]_Alternative1_02012000_Epe" xfId="168"/>
    <cellStyle name="Comma [0]_Alternative1_1" xfId="169"/>
    <cellStyle name="Comma [0]_Alternative1_1_02012000_Epe" xfId="170"/>
    <cellStyle name="Comma [0]_App E" xfId="171"/>
    <cellStyle name="Comma [0]_Apr" xfId="172"/>
    <cellStyle name="Comma [0]_Apr_02012000_Epe" xfId="173"/>
    <cellStyle name="Comma [0]_Arapahoe" xfId="174"/>
    <cellStyle name="Comma [0]_Assumptions" xfId="175"/>
    <cellStyle name="Comma [0]_Assumptions_02012000_Epe" xfId="176"/>
    <cellStyle name="Comma [0]_bahiadefault" xfId="177"/>
    <cellStyle name="Comma [0]_Book3" xfId="178"/>
    <cellStyle name="Comma [0]_BOP" xfId="179"/>
    <cellStyle name="Comma [0]_BOP_02012000_Epe" xfId="180"/>
    <cellStyle name="Comma [0]_BOPBAL1" xfId="181"/>
    <cellStyle name="Comma [0]_BOPCBU" xfId="182"/>
    <cellStyle name="Comma [0]_BOPCBU (2)" xfId="183"/>
    <cellStyle name="Comma [0]_BOPCBU96" xfId="184"/>
    <cellStyle name="Comma [0]_BSAPPE.XLS" xfId="185"/>
    <cellStyle name="Comma [0]_Calculations" xfId="186"/>
    <cellStyle name="Comma [0]_Calculations (2)" xfId="187"/>
    <cellStyle name="Comma [0]_Calculations (2)_02012000_Epe" xfId="188"/>
    <cellStyle name="Comma [0]_Calculations II" xfId="189"/>
    <cellStyle name="Comma [0]_Calculations II_02012000_Epe" xfId="190"/>
    <cellStyle name="Comma [0]_Calculations III" xfId="191"/>
    <cellStyle name="Comma [0]_Calculations III_02012000_Epe" xfId="192"/>
    <cellStyle name="Comma [0]_Calculations_02012000_Epe" xfId="193"/>
    <cellStyle name="Comma [0]_Calculations_1" xfId="194"/>
    <cellStyle name="Comma [0]_Calculations_1_02012000_Epe" xfId="195"/>
    <cellStyle name="Comma [0]_CAPEX" xfId="196"/>
    <cellStyle name="Comma [0]_CAPEX94" xfId="197"/>
    <cellStyle name="Comma [0]_CBU BOX CHART V PLAN" xfId="198"/>
    <cellStyle name="Comma [0]_CCA" xfId="199"/>
    <cellStyle name="Comma [0]_CCA_02012000_Epe" xfId="200"/>
    <cellStyle name="Comma [0]_CCOCPX" xfId="201"/>
    <cellStyle name="Comma [0]_CHANGES.XLS" xfId="202"/>
    <cellStyle name="Comma [0]_Charts" xfId="203"/>
    <cellStyle name="Comma [0]_Charts_02012000_Epe" xfId="204"/>
    <cellStyle name="Comma [0]_Comm File" xfId="205"/>
    <cellStyle name="Comma [0]_Comm File_02012000_Epe" xfId="206"/>
    <cellStyle name="Comma [0]_coperdefault" xfId="207"/>
    <cellStyle name="Comma [0]_Corp method" xfId="208"/>
    <cellStyle name="Comma [0]_Corp method_02012000_Epe" xfId="209"/>
    <cellStyle name="Comma [0]_CTCUR" xfId="210"/>
    <cellStyle name="Comma [0]_CTCUR_02012000_Epe" xfId="211"/>
    <cellStyle name="Comma [0]_CUMPLTCH" xfId="212"/>
    <cellStyle name="Comma [0]_DEFAULT" xfId="213"/>
    <cellStyle name="Comma [0]_dimon" xfId="214"/>
    <cellStyle name="Comma [0]_dimon_02012000_Epe" xfId="215"/>
    <cellStyle name="Comma [0]_Dowell C1b" xfId="216"/>
    <cellStyle name="Comma [0]_Dowell-C1a" xfId="217"/>
    <cellStyle name="Comma [0]_E&amp;ONW1" xfId="218"/>
    <cellStyle name="Comma [0]_E&amp;ONW2" xfId="219"/>
    <cellStyle name="Comma [0]_E&amp;OOCPX" xfId="220"/>
    <cellStyle name="Comma [0]_emserdefault" xfId="221"/>
    <cellStyle name="Comma [0]_F&amp;COCPX" xfId="222"/>
    <cellStyle name="Comma [0]_FEBRUARY" xfId="223"/>
    <cellStyle name="Comma [0]_FF" xfId="224"/>
    <cellStyle name="Comma [0]_FP 20 A (1)" xfId="225"/>
    <cellStyle name="Comma [0]_FP 20 A (2)" xfId="226"/>
    <cellStyle name="Comma [0]_FP-20 (App. E)" xfId="227"/>
    <cellStyle name="Comma [0]_FP-20 (App.A) " xfId="228"/>
    <cellStyle name="Comma [0]_FP-20 (App.A) _02012000_Epe" xfId="229"/>
    <cellStyle name="Comma [0]_FP-20 (App.D)" xfId="230"/>
    <cellStyle name="Comma [0]_FP-20(App.B)" xfId="231"/>
    <cellStyle name="Comma [0]_FP-20(C1) (a)" xfId="232"/>
    <cellStyle name="Comma [0]_FP-20(C1) (a) (2)" xfId="233"/>
    <cellStyle name="Comma [0]_FP-20(C1) (a) (2)_02012000_Epe" xfId="234"/>
    <cellStyle name="Comma [0]_FP-20(C1) (b)" xfId="235"/>
    <cellStyle name="Comma [0]_FP-20(C1) (b) " xfId="236"/>
    <cellStyle name="Comma [0]_FP-20(C1) (b) (2)" xfId="237"/>
    <cellStyle name="Comma [0]_FP-20(C1) (b) (2)_02012000_Epe" xfId="238"/>
    <cellStyle name="Comma [0]_GCM" xfId="239"/>
    <cellStyle name="Comma [0]_GCM_02012000_Epe" xfId="240"/>
    <cellStyle name="Comma [0]_GenAssum" xfId="241"/>
    <cellStyle name="Comma [0]_GP C1a" xfId="242"/>
    <cellStyle name="Comma [0]_GP C1b" xfId="243"/>
    <cellStyle name="Comma [0]_GP_EI_3" xfId="244"/>
    <cellStyle name="Comma [0]_GQ C1A" xfId="245"/>
    <cellStyle name="Comma [0]_GQ C1B" xfId="246"/>
    <cellStyle name="Comma [0]_Inputs" xfId="247"/>
    <cellStyle name="Comma [0]_IPM C1b" xfId="248"/>
    <cellStyle name="Comma [0]_IPMC1a" xfId="249"/>
    <cellStyle name="Comma [0]_IS-Hold" xfId="250"/>
    <cellStyle name="Comma [0]_ITOCPX" xfId="251"/>
    <cellStyle name="Comma [0]_jancf" xfId="252"/>
    <cellStyle name="Comma [0]_JUNMTH55" xfId="253"/>
    <cellStyle name="Comma [0]_JUNMTH55_02012000_Epe" xfId="254"/>
    <cellStyle name="Comma [0]_JUNMTH57" xfId="255"/>
    <cellStyle name="Comma [0]_JUNMTH57_02012000_Epe" xfId="256"/>
    <cellStyle name="Comma [0]_JUNYTD55" xfId="257"/>
    <cellStyle name="Comma [0]_JUNYTD55_02012000_Epe" xfId="258"/>
    <cellStyle name="Comma [0]_JUNYTD57" xfId="259"/>
    <cellStyle name="Comma [0]_JUNYTD57_02012000_Epe" xfId="260"/>
    <cellStyle name="Comma [0]_laroux" xfId="261"/>
    <cellStyle name="Comma [0]_laroux_02012000_Epe" xfId="262"/>
    <cellStyle name="Comma [0]_laroux_1" xfId="263"/>
    <cellStyle name="Comma [0]_laroux_1995" xfId="264"/>
    <cellStyle name="Comma [0]_laroux_1995_02012000_Epe" xfId="265"/>
    <cellStyle name="Comma [0]_laroux_1_dimon" xfId="266"/>
    <cellStyle name="Comma [0]_laroux_1_dimon_02012000_Epe" xfId="267"/>
    <cellStyle name="Comma [0]_laroux_1_dimon_1" xfId="268"/>
    <cellStyle name="Comma [0]_laroux_1_dimon_1_02012000_Epe" xfId="269"/>
    <cellStyle name="Comma [0]_laroux_1_laroux" xfId="270"/>
    <cellStyle name="Comma [0]_laroux_1_laroux_02012000_Epe" xfId="271"/>
    <cellStyle name="Comma [0]_laroux_1_pldt" xfId="272"/>
    <cellStyle name="Comma [0]_laroux_1_pldt_02012000_Epe" xfId="273"/>
    <cellStyle name="Comma [0]_laroux_1_PLDT_dimon" xfId="274"/>
    <cellStyle name="Comma [0]_laroux_1_PLDT_dimon_02012000_Epe" xfId="275"/>
    <cellStyle name="Comma [0]_laroux_1_VERA" xfId="276"/>
    <cellStyle name="Comma [0]_laroux_1_VERA_02012000_Epe" xfId="277"/>
    <cellStyle name="Comma [0]_laroux_1_VIRUS-EDY" xfId="278"/>
    <cellStyle name="Comma [0]_laroux_1_VIRUS-EDY_02012000_Epe" xfId="279"/>
    <cellStyle name="Comma [0]_laroux_2" xfId="280"/>
    <cellStyle name="Comma [0]_laroux_2_02012000_Epe" xfId="281"/>
    <cellStyle name="Comma [0]_laroux_2_dimon" xfId="282"/>
    <cellStyle name="Comma [0]_laroux_2_dimon_1" xfId="283"/>
    <cellStyle name="Comma [0]_laroux_2_dimon_1_02012000_Epe" xfId="284"/>
    <cellStyle name="Comma [0]_laroux_2_dimon_2" xfId="285"/>
    <cellStyle name="Comma [0]_laroux_2_dimon_2_02012000_Epe" xfId="286"/>
    <cellStyle name="Comma [0]_laroux_2_laroux" xfId="287"/>
    <cellStyle name="Comma [0]_laroux_2_laroux_02012000_Epe" xfId="288"/>
    <cellStyle name="Comma [0]_laroux_2_laroux_dimon" xfId="289"/>
    <cellStyle name="Comma [0]_laroux_2_laroux_dimon_02012000_Epe" xfId="290"/>
    <cellStyle name="Comma [0]_laroux_2_pldt" xfId="291"/>
    <cellStyle name="Comma [0]_laroux_2_pldt_02012000_Epe" xfId="292"/>
    <cellStyle name="Comma [0]_laroux_2_VERA" xfId="293"/>
    <cellStyle name="Comma [0]_laroux_2_VERA_02012000_Epe" xfId="294"/>
    <cellStyle name="Comma [0]_laroux_3" xfId="295"/>
    <cellStyle name="Comma [0]_laroux_3_02012000_Epe" xfId="296"/>
    <cellStyle name="Comma [0]_laroux_3_dimon" xfId="297"/>
    <cellStyle name="Comma [0]_laroux_3_dimon_02012000_Epe" xfId="298"/>
    <cellStyle name="Comma [0]_laroux_dimon" xfId="299"/>
    <cellStyle name="Comma [0]_laroux_dimon_02012000_Epe" xfId="300"/>
    <cellStyle name="Comma [0]_laroux_dimon_1" xfId="301"/>
    <cellStyle name="Comma [0]_laroux_laroux" xfId="302"/>
    <cellStyle name="Comma [0]_laroux_laroux_02012000_Epe" xfId="303"/>
    <cellStyle name="Comma [0]_laroux_laroux_1" xfId="304"/>
    <cellStyle name="Comma [0]_laroux_laroux_dimon" xfId="305"/>
    <cellStyle name="Comma [0]_laroux_laroux_dimon_02012000_Epe" xfId="306"/>
    <cellStyle name="Comma [0]_laroux_MATERAL2" xfId="307"/>
    <cellStyle name="Comma [0]_laroux_MATERAL2_02012000_Epe" xfId="308"/>
    <cellStyle name="Comma [0]_laroux_MATERAL2_dimon" xfId="309"/>
    <cellStyle name="Comma [0]_laroux_MATERAL2_dimon_02012000_Epe" xfId="310"/>
    <cellStyle name="Comma [0]_laroux_MATERAL2_laroux" xfId="311"/>
    <cellStyle name="Comma [0]_laroux_MATERAL2_laroux_02012000_Epe" xfId="312"/>
    <cellStyle name="Comma [0]_laroux_MATERAL2_laroux_dimon" xfId="313"/>
    <cellStyle name="Comma [0]_laroux_MATERAL2_laroux_dimon_02012000_Epe" xfId="314"/>
    <cellStyle name="Comma [0]_laroux_MATERAL2_pldt" xfId="315"/>
    <cellStyle name="Comma [0]_laroux_MATERAL2_pldt_02012000_Epe" xfId="316"/>
    <cellStyle name="Comma [0]_laroux_MATERAL2_VERA" xfId="317"/>
    <cellStyle name="Comma [0]_laroux_MATERAL2_VERA_02012000_Epe" xfId="318"/>
    <cellStyle name="Comma [0]_laroux_MATERAL2_VIRUS-EDY" xfId="319"/>
    <cellStyle name="Comma [0]_laroux_MATERAL2_VIRUS-EDY_02012000_Epe" xfId="320"/>
    <cellStyle name="Comma [0]_laroux_mud plant bolted" xfId="321"/>
    <cellStyle name="Comma [0]_laroux_mud plant bolted_02012000_Epe" xfId="322"/>
    <cellStyle name="Comma [0]_laroux_mud plant bolted_dimon" xfId="323"/>
    <cellStyle name="Comma [0]_laroux_mud plant bolted_dimon_02012000_Epe" xfId="324"/>
    <cellStyle name="Comma [0]_laroux_mud plant bolted_dimon_1" xfId="325"/>
    <cellStyle name="Comma [0]_laroux_mud plant bolted_dimon_1_02012000_Epe" xfId="326"/>
    <cellStyle name="Comma [0]_laroux_pldt" xfId="327"/>
    <cellStyle name="Comma [0]_laroux_VERA" xfId="328"/>
    <cellStyle name="Comma [0]_laroux_VERA_02012000_Epe" xfId="329"/>
    <cellStyle name="Comma [0]_laroux_VERA_1" xfId="330"/>
    <cellStyle name="Comma [0]_laroux_VIRUS-EDY" xfId="331"/>
    <cellStyle name="Comma [0]_MATERAL2" xfId="332"/>
    <cellStyle name="Comma [0]_MATERAL2_02012000_Epe" xfId="333"/>
    <cellStyle name="Comma [0]_MATERAL2_dimon" xfId="334"/>
    <cellStyle name="Comma [0]_MATERAL2_dimon_02012000_Epe" xfId="335"/>
    <cellStyle name="Comma [0]_MATERAL2_dimon_1" xfId="336"/>
    <cellStyle name="Comma [0]_MATERAL2_dimon_1_02012000_Epe" xfId="337"/>
    <cellStyle name="Comma [0]_may98dcr" xfId="338"/>
    <cellStyle name="Comma [0]_MKGOCPX" xfId="339"/>
    <cellStyle name="Comma [0]_MOBCPX" xfId="340"/>
    <cellStyle name="Comma [0]_mud plant bolted" xfId="341"/>
    <cellStyle name="Comma [0]_mud plant bolted_02012000_Epe" xfId="342"/>
    <cellStyle name="Comma [0]_mud plant bolted_dimon" xfId="343"/>
    <cellStyle name="Comma [0]_mud plant bolted_dimon_02012000_Epe" xfId="344"/>
    <cellStyle name="Comma [0]_mud plant bolted_laroux" xfId="345"/>
    <cellStyle name="Comma [0]_mud plant bolted_laroux_02012000_Epe" xfId="346"/>
    <cellStyle name="Comma [0]_mud plant bolted_laroux_dimon" xfId="347"/>
    <cellStyle name="Comma [0]_mud plant bolted_laroux_dimon_02012000_Epe" xfId="348"/>
    <cellStyle name="Comma [0]_mud plant bolted_pldt" xfId="349"/>
    <cellStyle name="Comma [0]_mud plant bolted_pldt_02012000_Epe" xfId="350"/>
    <cellStyle name="Comma [0]_mud plant bolted_VERA" xfId="351"/>
    <cellStyle name="Comma [0]_mud plant bolted_VERA_02012000_Epe" xfId="352"/>
    <cellStyle name="Comma [0]_mud plant bolted_VIRUS-EDY" xfId="353"/>
    <cellStyle name="Comma [0]_mud plant bolted_VIRUS-EDY_02012000_Epe" xfId="354"/>
    <cellStyle name="Comma [0]_NA WITHOUT GOV'T &amp; PNX" xfId="355"/>
    <cellStyle name="Comma [0]_NA WITHOUT GOV'T &amp; PNX_02012000_Epe" xfId="356"/>
    <cellStyle name="Comma [0]_NAOBU10" xfId="357"/>
    <cellStyle name="Comma [0]_NAT ACCT" xfId="358"/>
    <cellStyle name="Comma [0]_NAT ACCT_02012000_Epe" xfId="359"/>
    <cellStyle name="Comma [0]_NSACTUAL.XLS" xfId="360"/>
    <cellStyle name="Comma [0]_NX00" xfId="361"/>
    <cellStyle name="Comma [0]_Odner" xfId="362"/>
    <cellStyle name="Comma [0]_Odner (2)" xfId="363"/>
    <cellStyle name="Comma [0]_Odner (2)_02012000_Epe" xfId="364"/>
    <cellStyle name="Comma [0]_Odner (3)" xfId="365"/>
    <cellStyle name="Comma [0]_Odner (3)_02012000_Epe" xfId="366"/>
    <cellStyle name="Comma [0]_Odner_02012000_Epe" xfId="367"/>
    <cellStyle name="Comma [0]_OSMOCPX" xfId="368"/>
    <cellStyle name="Comma [0]_Other Months" xfId="369"/>
    <cellStyle name="Comma [0]_Other Months_02012000_Epe" xfId="370"/>
    <cellStyle name="Comma [0]_Outlook" xfId="371"/>
    <cellStyle name="Comma [0]_Outlook_02012000_Epe" xfId="372"/>
    <cellStyle name="Comma [0]_pbdefault" xfId="373"/>
    <cellStyle name="Comma [0]_percentages" xfId="374"/>
    <cellStyle name="Comma [0]_PERSONAL" xfId="375"/>
    <cellStyle name="Comma [0]_PERSONAL_02012000_Epe" xfId="376"/>
    <cellStyle name="Comma [0]_PGMKOCPX" xfId="377"/>
    <cellStyle name="Comma [0]_PGNW1" xfId="378"/>
    <cellStyle name="Comma [0]_PGNW2" xfId="379"/>
    <cellStyle name="Comma [0]_PGNWOCPX" xfId="380"/>
    <cellStyle name="Comma [0]_Pink" xfId="381"/>
    <cellStyle name="Comma [0]_Pink_02012000_Epe" xfId="382"/>
    <cellStyle name="Comma [0]_Plan" xfId="383"/>
    <cellStyle name="Comma [0]_Plan_02012000_Epe" xfId="384"/>
    <cellStyle name="Comma [0]_PLANT" xfId="385"/>
    <cellStyle name="Comma [0]_PLDT" xfId="386"/>
    <cellStyle name="Comma [0]_PLDT_02012000_Epe" xfId="387"/>
    <cellStyle name="Comma [0]_pldt_1" xfId="388"/>
    <cellStyle name="Comma [0]_PLDT_1_dimon" xfId="389"/>
    <cellStyle name="Comma [0]_PLDT_1_dimon_02012000_Epe" xfId="390"/>
    <cellStyle name="Comma [0]_pldt_Calculations" xfId="391"/>
    <cellStyle name="Comma [0]_pldt_Calculations_02012000_Epe" xfId="392"/>
    <cellStyle name="Comma [0]_PLDT_dimon" xfId="393"/>
    <cellStyle name="Comma [0]_priccurv" xfId="394"/>
    <cellStyle name="Comma [0]_PROCDS&amp;G" xfId="395"/>
    <cellStyle name="Comma [0]_PROFILE4" xfId="396"/>
    <cellStyle name="Comma [0]_Projects" xfId="397"/>
    <cellStyle name="Comma [0]_Projects_02012000_Epe" xfId="398"/>
    <cellStyle name="Comma [0]_Quarter End Months" xfId="399"/>
    <cellStyle name="Comma [0]_Quarter End Months_02012000_Epe" xfId="400"/>
    <cellStyle name="Comma [0]_r1" xfId="401"/>
    <cellStyle name="Comma [0]_r1_02012000_Epe" xfId="402"/>
    <cellStyle name="Comma [0]_RFI" xfId="403"/>
    <cellStyle name="Comma [0]_RFI_02012000_Epe" xfId="404"/>
    <cellStyle name="Comma [0]_RFI_1" xfId="405"/>
    <cellStyle name="Comma [0]_RFI_1_02012000_Epe" xfId="406"/>
    <cellStyle name="Comma [0]_Sales Order" xfId="407"/>
    <cellStyle name="Comma [0]_Sales Order_02012000_Epe" xfId="408"/>
    <cellStyle name="Comma [0]_SATOCPX" xfId="409"/>
    <cellStyle name="Comma [0]_Sheet1" xfId="410"/>
    <cellStyle name="Comma [0]_Sheet1_02012000_Epe" xfId="411"/>
    <cellStyle name="Comma [0]_Sheet1_dimon" xfId="412"/>
    <cellStyle name="Comma [0]_Sheet1_dimon_02012000_Epe" xfId="413"/>
    <cellStyle name="Comma [0]_SHENREPT" xfId="414"/>
    <cellStyle name="Comma [0]_Snr. CO" xfId="415"/>
    <cellStyle name="Comma [0]_Snr. CO_02012000_Epe" xfId="416"/>
    <cellStyle name="Comma [0]_sprint contr" xfId="417"/>
    <cellStyle name="Comma [0]_sprint contr_02012000_Epe" xfId="418"/>
    <cellStyle name="Comma [0]_Subcont File" xfId="419"/>
    <cellStyle name="Comma [0]_Subcont File_02012000_Epe" xfId="420"/>
    <cellStyle name="Comma [0]_Summary Info" xfId="421"/>
    <cellStyle name="Comma [0]_Summary Info_02012000_Epe" xfId="422"/>
    <cellStyle name="Comma [0]_SUMPAGE" xfId="423"/>
    <cellStyle name="Comma [0]_TMSNW1" xfId="424"/>
    <cellStyle name="Comma [0]_TMSNW2" xfId="425"/>
    <cellStyle name="Comma [0]_TMSOCPX" xfId="426"/>
    <cellStyle name="Comma [0]_TOTAL MTH" xfId="427"/>
    <cellStyle name="Comma [0]_TOTAL MTH_02012000_Epe" xfId="428"/>
    <cellStyle name="Comma [0]_TOTAL YTD" xfId="429"/>
    <cellStyle name="Comma [0]_TOTAL YTD_02012000_Epe" xfId="430"/>
    <cellStyle name="Comma [0]_TRANSDSC.XLS" xfId="431"/>
    <cellStyle name="Comma [0]_TRANSFXA.XLS" xfId="432"/>
    <cellStyle name="Comma [0]_TRANSFXA.XLS_1" xfId="433"/>
    <cellStyle name="Comma [0]_TRANSFXA.XLS_1_02012000_Epe" xfId="434"/>
    <cellStyle name="Comma [0]_TRANSIME.XLS" xfId="435"/>
    <cellStyle name="Comma [0]_TRANSIME.XLS_TRANSDSC.XLS" xfId="436"/>
    <cellStyle name="Comma [0]_TRANSIME.XLS_TRANSDSC.XLS_02012000_Epe" xfId="437"/>
    <cellStyle name="Comma [0]_TRANSIME.XLS_TRANSFXA.XLS" xfId="438"/>
    <cellStyle name="Comma [0]_VIRUS-EDY" xfId="439"/>
    <cellStyle name="Comma [0]_VIRUS-EDY_02012000_Epe" xfId="440"/>
    <cellStyle name="Comma [0]_White" xfId="441"/>
    <cellStyle name="Comma [0]_White_02012000_Epe" xfId="442"/>
    <cellStyle name="Comma [0]_WO Var. &amp; Tot. Exp." xfId="443"/>
    <cellStyle name="Comma [0]_WO Var. &amp; Tot. Exp._02012000_Epe" xfId="444"/>
    <cellStyle name="Comma [0]_WSP" xfId="445"/>
    <cellStyle name="Comma [0]_yrcao" xfId="446"/>
    <cellStyle name="Comma [0]_yrcao_02012000_Epe" xfId="447"/>
    <cellStyle name="Comma [0]_YREND55" xfId="448"/>
    <cellStyle name="Comma [0]_YREND55_02012000_Epe" xfId="449"/>
    <cellStyle name="Comma [0]_YREND57" xfId="450"/>
    <cellStyle name="Comma [0]_YREND57_02012000_Epe" xfId="451"/>
    <cellStyle name="Comma [0]_YTDCUR" xfId="452"/>
    <cellStyle name="Comma [0]_YTDCUR_02012000_Epe" xfId="453"/>
    <cellStyle name="Comma_12matrix" xfId="454"/>
    <cellStyle name="Comma_12matrix_02012000_Epe" xfId="455"/>
    <cellStyle name="Comma_1995" xfId="456"/>
    <cellStyle name="Comma_1995_02012000_Epe" xfId="457"/>
    <cellStyle name="Comma_A" xfId="458"/>
    <cellStyle name="Comma_A_02012000_Epe" xfId="459"/>
    <cellStyle name="Comma_A_dimon" xfId="460"/>
    <cellStyle name="Comma_A_dimon_02012000_Epe" xfId="461"/>
    <cellStyle name="Comma_ACTUAL" xfId="462"/>
    <cellStyle name="Comma_ACTUAL NA -OBU" xfId="463"/>
    <cellStyle name="Comma_Actual vs." xfId="464"/>
    <cellStyle name="Comma_algasdefault" xfId="465"/>
    <cellStyle name="Comma_algasdefault_1" xfId="466"/>
    <cellStyle name="Comma_Alternative1" xfId="467"/>
    <cellStyle name="Comma_Alternative1_02012000_Epe" xfId="468"/>
    <cellStyle name="Comma_Alternative1_1" xfId="469"/>
    <cellStyle name="Comma_Alternative1_1_02012000_Epe" xfId="470"/>
    <cellStyle name="Comma_App E" xfId="471"/>
    <cellStyle name="Comma_Apr" xfId="472"/>
    <cellStyle name="Comma_Apr_02012000_Epe" xfId="473"/>
    <cellStyle name="Comma_Arapahoe" xfId="474"/>
    <cellStyle name="Comma_Assumptions" xfId="475"/>
    <cellStyle name="Comma_Assumptions_02012000_Epe" xfId="476"/>
    <cellStyle name="Comma_bahiadefault" xfId="477"/>
    <cellStyle name="Comma_bahiadefault_1" xfId="478"/>
    <cellStyle name="Comma_Book3" xfId="479"/>
    <cellStyle name="Comma_BOP" xfId="480"/>
    <cellStyle name="Comma_BOP_02012000_Epe" xfId="481"/>
    <cellStyle name="Comma_BOPBAL1" xfId="482"/>
    <cellStyle name="Comma_BOPCBU" xfId="483"/>
    <cellStyle name="Comma_BOPCBU (2)" xfId="484"/>
    <cellStyle name="Comma_BOPCBU96" xfId="485"/>
    <cellStyle name="Comma_BSAPPE.XLS" xfId="486"/>
    <cellStyle name="Comma_C-Cap intensity" xfId="487"/>
    <cellStyle name="Comma_C-Capex%rev" xfId="488"/>
    <cellStyle name="Comma_C-Line per Staff" xfId="489"/>
    <cellStyle name="Comma_C-lines distribution" xfId="490"/>
    <cellStyle name="Comma_C-Orig PLDT lines" xfId="491"/>
    <cellStyle name="Comma_C-Ret on Rev" xfId="492"/>
    <cellStyle name="Comma_C-ROACE" xfId="493"/>
    <cellStyle name="Comma_Calculations" xfId="494"/>
    <cellStyle name="Comma_Calculations (2)" xfId="495"/>
    <cellStyle name="Comma_Calculations (2)_02012000_Epe" xfId="496"/>
    <cellStyle name="Comma_Calculations II" xfId="497"/>
    <cellStyle name="Comma_Calculations II_02012000_Epe" xfId="498"/>
    <cellStyle name="Comma_Calculations III" xfId="499"/>
    <cellStyle name="Comma_Calculations III_02012000_Epe" xfId="500"/>
    <cellStyle name="Comma_Calculations_02012000_Epe" xfId="501"/>
    <cellStyle name="Comma_Calculations_1" xfId="502"/>
    <cellStyle name="Comma_Calculations_1_02012000_Epe" xfId="503"/>
    <cellStyle name="Comma_Capex" xfId="504"/>
    <cellStyle name="Comma_Capex per line" xfId="505"/>
    <cellStyle name="Comma_Capex per line_02012000_Epe" xfId="506"/>
    <cellStyle name="Comma_Capex%rev" xfId="507"/>
    <cellStyle name="Comma_Capex%rev_02012000_Epe" xfId="508"/>
    <cellStyle name="Comma_CAPEX94" xfId="509"/>
    <cellStyle name="Comma_Capex_02012000_Epe" xfId="510"/>
    <cellStyle name="Comma_CAPEX_dimon" xfId="511"/>
    <cellStyle name="Comma_CBU BOX CHART V PLAN" xfId="512"/>
    <cellStyle name="Comma_CCA" xfId="513"/>
    <cellStyle name="Comma_CCA_02012000_Epe" xfId="514"/>
    <cellStyle name="Comma_CCOCPX" xfId="515"/>
    <cellStyle name="Comma_CHANGES.XLS" xfId="516"/>
    <cellStyle name="Comma_Charts" xfId="517"/>
    <cellStyle name="Comma_Charts_02012000_Epe" xfId="518"/>
    <cellStyle name="Comma_Cht-Capex per line" xfId="519"/>
    <cellStyle name="Comma_Cht-Cum Real Opr Cf" xfId="520"/>
    <cellStyle name="Comma_Cht-Dep%Rev" xfId="521"/>
    <cellStyle name="Comma_Cht-Real Opr Cf" xfId="522"/>
    <cellStyle name="Comma_Cht-Rev dist" xfId="523"/>
    <cellStyle name="Comma_Cht-Rev p line" xfId="524"/>
    <cellStyle name="Comma_Cht-Rev per Staff" xfId="525"/>
    <cellStyle name="Comma_Cht-Staff cost%revenue" xfId="526"/>
    <cellStyle name="Comma_Comm File" xfId="527"/>
    <cellStyle name="Comma_Comm File_02012000_Epe" xfId="528"/>
    <cellStyle name="Comma_coperdefault" xfId="529"/>
    <cellStyle name="Comma_coperdefault_1" xfId="530"/>
    <cellStyle name="Comma_Corp method" xfId="531"/>
    <cellStyle name="Comma_Corp method_02012000_Epe" xfId="532"/>
    <cellStyle name="Comma_CROCF" xfId="533"/>
    <cellStyle name="Comma_CROCF_02012000_Epe" xfId="534"/>
    <cellStyle name="Comma_CTCUR" xfId="535"/>
    <cellStyle name="Comma_CTCUR_02012000_Epe" xfId="536"/>
    <cellStyle name="Comma_Cum Real Opr Cf" xfId="537"/>
    <cellStyle name="Comma_Cum Real Opr Cf_02012000_Epe" xfId="538"/>
    <cellStyle name="Comma_CUMPLTCH" xfId="539"/>
    <cellStyle name="Comma_DEFAULT" xfId="540"/>
    <cellStyle name="Comma_Demand Fcst." xfId="541"/>
    <cellStyle name="Comma_Demand Fcst._02012000_Epe" xfId="542"/>
    <cellStyle name="Comma_Dep%Rev" xfId="543"/>
    <cellStyle name="Comma_Dep%Rev_02012000_Epe" xfId="544"/>
    <cellStyle name="Comma_dimon" xfId="545"/>
    <cellStyle name="Comma_dimon_02012000_Epe" xfId="546"/>
    <cellStyle name="Comma_Dowell C1b" xfId="547"/>
    <cellStyle name="Comma_Dowell-C1a" xfId="548"/>
    <cellStyle name="Comma_E&amp;ONW1" xfId="549"/>
    <cellStyle name="Comma_E&amp;ONW2" xfId="550"/>
    <cellStyle name="Comma_E&amp;OOCPX" xfId="551"/>
    <cellStyle name="Comma_emserdefault" xfId="552"/>
    <cellStyle name="Comma_emserdefault_1" xfId="553"/>
    <cellStyle name="Comma_EPS" xfId="554"/>
    <cellStyle name="Comma_EPS_02012000_Epe" xfId="555"/>
    <cellStyle name="Comma_F&amp;COCPX" xfId="556"/>
    <cellStyle name="Comma_FEBRUARY" xfId="557"/>
    <cellStyle name="Comma_FF" xfId="558"/>
    <cellStyle name="Comma_FP 20 A (1)" xfId="559"/>
    <cellStyle name="Comma_FP 20 A (2)" xfId="560"/>
    <cellStyle name="Comma_FP-20 (App. E)" xfId="561"/>
    <cellStyle name="Comma_FP-20 (App.A) " xfId="562"/>
    <cellStyle name="Comma_FP-20 (App.A) _02012000_Epe" xfId="563"/>
    <cellStyle name="Comma_FP-20 (App.D)" xfId="564"/>
    <cellStyle name="Comma_FP-20(App.B)" xfId="565"/>
    <cellStyle name="Comma_FP-20(C1) (a)" xfId="566"/>
    <cellStyle name="Comma_FP-20(C1) (a) (2)" xfId="567"/>
    <cellStyle name="Comma_FP-20(C1) (a) (2)_02012000_Epe" xfId="568"/>
    <cellStyle name="Comma_FP-20(C1) (b)" xfId="569"/>
    <cellStyle name="Comma_FP-20(C1) (b) " xfId="570"/>
    <cellStyle name="Comma_FP-20(C1) (b) (2)" xfId="571"/>
    <cellStyle name="Comma_FP-20(C1) (b) (2)_02012000_Epe" xfId="572"/>
    <cellStyle name="Comma_GCM" xfId="573"/>
    <cellStyle name="Comma_GCM_02012000_Epe" xfId="574"/>
    <cellStyle name="Comma_GenAssum" xfId="575"/>
    <cellStyle name="Comma_GP C1a" xfId="576"/>
    <cellStyle name="Comma_GP C1b" xfId="577"/>
    <cellStyle name="Comma_GP_EI_3" xfId="578"/>
    <cellStyle name="Comma_GQ C1A" xfId="579"/>
    <cellStyle name="Comma_GQ C1B" xfId="580"/>
    <cellStyle name="Comma_Inputs" xfId="581"/>
    <cellStyle name="Comma_IPM C1b" xfId="582"/>
    <cellStyle name="Comma_IPMC1a" xfId="583"/>
    <cellStyle name="Comma_IRR" xfId="584"/>
    <cellStyle name="Comma_IRR_02012000_Epe" xfId="585"/>
    <cellStyle name="Comma_IS-Hold" xfId="586"/>
    <cellStyle name="Comma_ITOCPX" xfId="587"/>
    <cellStyle name="Comma_jancf" xfId="588"/>
    <cellStyle name="Comma_JUNMTH55" xfId="589"/>
    <cellStyle name="Comma_JUNMTH55_02012000_Epe" xfId="590"/>
    <cellStyle name="Comma_JUNMTH57" xfId="591"/>
    <cellStyle name="Comma_JUNMTH57_02012000_Epe" xfId="592"/>
    <cellStyle name="Comma_JUNYTD55" xfId="593"/>
    <cellStyle name="Comma_JUNYTD55_02012000_Epe" xfId="594"/>
    <cellStyle name="Comma_JUNYTD57" xfId="595"/>
    <cellStyle name="Comma_JUNYTD57_02012000_Epe" xfId="596"/>
    <cellStyle name="Comma_laroux" xfId="597"/>
    <cellStyle name="Comma_laroux_02012000_Epe" xfId="598"/>
    <cellStyle name="Comma_laroux_1" xfId="599"/>
    <cellStyle name="Comma_laroux_1995" xfId="600"/>
    <cellStyle name="Comma_laroux_1995_02012000_Epe" xfId="601"/>
    <cellStyle name="Comma_laroux_1_dimon" xfId="602"/>
    <cellStyle name="Comma_laroux_1_dimon_02012000_Epe" xfId="603"/>
    <cellStyle name="Comma_laroux_1_dimon_1" xfId="604"/>
    <cellStyle name="Comma_laroux_1_dimon_1_02012000_Epe" xfId="605"/>
    <cellStyle name="Comma_laroux_1_laroux" xfId="606"/>
    <cellStyle name="Comma_laroux_1_laroux_02012000_Epe" xfId="607"/>
    <cellStyle name="Comma_laroux_1_pldt" xfId="608"/>
    <cellStyle name="Comma_laroux_1_pldt_1" xfId="609"/>
    <cellStyle name="Comma_laroux_1_pldt_1_02012000_Epe" xfId="610"/>
    <cellStyle name="Comma_laroux_1_PLDT_dimon" xfId="611"/>
    <cellStyle name="Comma_laroux_1_PLDT_dimon_02012000_Epe" xfId="612"/>
    <cellStyle name="Comma_laroux_1_VERA" xfId="613"/>
    <cellStyle name="Comma_laroux_1_VERA_1" xfId="614"/>
    <cellStyle name="Comma_laroux_1_VERA_1_02012000_Epe" xfId="615"/>
    <cellStyle name="Comma_laroux_1_VIRUS-EDY" xfId="616"/>
    <cellStyle name="Comma_laroux_1_VIRUS-EDY_02012000_Epe" xfId="617"/>
    <cellStyle name="Comma_laroux_2" xfId="618"/>
    <cellStyle name="Comma_laroux_2_dimon" xfId="619"/>
    <cellStyle name="Comma_laroux_2_dimon_1" xfId="620"/>
    <cellStyle name="Comma_laroux_2_dimon_1_02012000_Epe" xfId="621"/>
    <cellStyle name="Comma_laroux_2_dimon_2" xfId="622"/>
    <cellStyle name="Comma_laroux_2_dimon_2_02012000_Epe" xfId="623"/>
    <cellStyle name="Comma_laroux_2_laroux" xfId="624"/>
    <cellStyle name="Comma_laroux_2_laroux_02012000_Epe" xfId="625"/>
    <cellStyle name="Comma_laroux_2_laroux_dimon" xfId="626"/>
    <cellStyle name="Comma_laroux_2_laroux_dimon_02012000_Epe" xfId="627"/>
    <cellStyle name="Comma_laroux_2_pldt" xfId="628"/>
    <cellStyle name="Comma_laroux_2_pldt_02012000_Epe" xfId="629"/>
    <cellStyle name="Comma_laroux_2_pldt_1" xfId="630"/>
    <cellStyle name="Comma_laroux_2_pldt_1_02012000_Epe" xfId="631"/>
    <cellStyle name="Comma_laroux_2_PLDT_dimon" xfId="632"/>
    <cellStyle name="Comma_laroux_2_PLDT_dimon_02012000_Epe" xfId="633"/>
    <cellStyle name="Comma_laroux_2_VERA" xfId="634"/>
    <cellStyle name="Comma_laroux_2_VERA_1" xfId="635"/>
    <cellStyle name="Comma_laroux_2_VERA_1_02012000_Epe" xfId="636"/>
    <cellStyle name="Comma_laroux_3" xfId="637"/>
    <cellStyle name="Comma_laroux_3_02012000_Epe" xfId="638"/>
    <cellStyle name="Comma_laroux_3_dimon" xfId="639"/>
    <cellStyle name="Comma_laroux_3_dimon_02012000_Epe" xfId="640"/>
    <cellStyle name="Comma_laroux_3_dimon_1" xfId="641"/>
    <cellStyle name="Comma_laroux_3_dimon_1_02012000_Epe" xfId="642"/>
    <cellStyle name="Comma_laroux_3_dimon_2" xfId="643"/>
    <cellStyle name="Comma_laroux_3_dimon_2_02012000_Epe" xfId="644"/>
    <cellStyle name="Comma_laroux_dimon" xfId="645"/>
    <cellStyle name="Comma_laroux_dimon_02012000_Epe" xfId="646"/>
    <cellStyle name="Comma_laroux_dimon_1" xfId="647"/>
    <cellStyle name="Comma_laroux_laroux" xfId="648"/>
    <cellStyle name="Comma_laroux_laroux_02012000_Epe" xfId="649"/>
    <cellStyle name="Comma_laroux_laroux_1" xfId="650"/>
    <cellStyle name="Comma_laroux_laroux_dimon" xfId="651"/>
    <cellStyle name="Comma_laroux_laroux_dimon_02012000_Epe" xfId="652"/>
    <cellStyle name="Comma_laroux_pldt" xfId="653"/>
    <cellStyle name="Comma_laroux_pldt_1" xfId="654"/>
    <cellStyle name="Comma_laroux_pldt_1_02012000_Epe" xfId="655"/>
    <cellStyle name="Comma_laroux_VERA" xfId="656"/>
    <cellStyle name="Comma_laroux_VERA_02012000_Epe" xfId="657"/>
    <cellStyle name="Comma_laroux_VERA_1" xfId="658"/>
    <cellStyle name="Comma_laroux_VIRUS-EDY" xfId="659"/>
    <cellStyle name="Comma_Line Inst." xfId="660"/>
    <cellStyle name="Comma_Line Inst._02012000_Epe" xfId="661"/>
    <cellStyle name="Comma_MATERAL2" xfId="662"/>
    <cellStyle name="Comma_MATERAL2_02012000_Epe" xfId="663"/>
    <cellStyle name="Comma_MATERAL2_dimon" xfId="664"/>
    <cellStyle name="Comma_MATERAL2_dimon_02012000_Epe" xfId="665"/>
    <cellStyle name="Comma_MATERAL2_dimon_1" xfId="666"/>
    <cellStyle name="Comma_MATERAL2_dimon_1_02012000_Epe" xfId="667"/>
    <cellStyle name="Comma_may98dcr" xfId="668"/>
    <cellStyle name="Comma_MKGOCPX" xfId="669"/>
    <cellStyle name="Comma_Mkt Shr" xfId="670"/>
    <cellStyle name="Comma_Mkt Shr_02012000_Epe" xfId="671"/>
    <cellStyle name="Comma_MOBCPX" xfId="672"/>
    <cellStyle name="Comma_mud plant bolted" xfId="673"/>
    <cellStyle name="Comma_NA WITHOUT GOV'T &amp; PNX" xfId="674"/>
    <cellStyle name="Comma_NA WITHOUT GOV'T &amp; PNX_02012000_Epe" xfId="675"/>
    <cellStyle name="Comma_NAOBU10" xfId="676"/>
    <cellStyle name="Comma_NAT ACCT" xfId="677"/>
    <cellStyle name="Comma_NAT ACCT_02012000_Epe" xfId="678"/>
    <cellStyle name="Comma_NCR-C&amp;W Val" xfId="679"/>
    <cellStyle name="Comma_NCR-C&amp;W Val_02012000_Epe" xfId="680"/>
    <cellStyle name="Comma_NCR-Cap intensity" xfId="681"/>
    <cellStyle name="Comma_NCR-Cap intensity_02012000_Epe" xfId="682"/>
    <cellStyle name="Comma_NCR-Line per Staff" xfId="683"/>
    <cellStyle name="Comma_NCR-Line per Staff_02012000_Epe" xfId="684"/>
    <cellStyle name="Comma_NCR-Rev dist" xfId="685"/>
    <cellStyle name="Comma_NCR-Rev dist_02012000_Epe" xfId="686"/>
    <cellStyle name="Comma_NSACTUAL.XLS" xfId="687"/>
    <cellStyle name="Comma_NX00" xfId="688"/>
    <cellStyle name="Comma_Odner" xfId="689"/>
    <cellStyle name="Comma_Odner (2)" xfId="690"/>
    <cellStyle name="Comma_Odner (2)_02012000_Epe" xfId="691"/>
    <cellStyle name="Comma_Odner (3)" xfId="692"/>
    <cellStyle name="Comma_Odner (3)_02012000_Epe" xfId="693"/>
    <cellStyle name="Comma_Odner_02012000_Epe" xfId="694"/>
    <cellStyle name="Comma_Op Cost Break" xfId="695"/>
    <cellStyle name="Comma_Op Cost Break_02012000_Epe" xfId="696"/>
    <cellStyle name="Comma_OSMOCPX" xfId="697"/>
    <cellStyle name="Comma_Other Months" xfId="698"/>
    <cellStyle name="Comma_Other Months_02012000_Epe" xfId="699"/>
    <cellStyle name="Comma_Outlook" xfId="700"/>
    <cellStyle name="Comma_Outlook_02012000_Epe" xfId="701"/>
    <cellStyle name="Comma_pbdefault" xfId="702"/>
    <cellStyle name="Comma_pbdefault_1" xfId="703"/>
    <cellStyle name="Comma_percentages" xfId="704"/>
    <cellStyle name="Comma_PERSONAL" xfId="705"/>
    <cellStyle name="Comma_PERSONAL_02012000_Epe" xfId="706"/>
    <cellStyle name="Comma_PGMKOCPX" xfId="707"/>
    <cellStyle name="Comma_PGNW1" xfId="708"/>
    <cellStyle name="Comma_PGNW2" xfId="709"/>
    <cellStyle name="Comma_PGNWOCPX" xfId="710"/>
    <cellStyle name="Comma_Pink" xfId="711"/>
    <cellStyle name="Comma_Pink_02012000_Epe" xfId="712"/>
    <cellStyle name="Comma_Plan" xfId="713"/>
    <cellStyle name="Comma_Plan_02012000_Epe" xfId="714"/>
    <cellStyle name="Comma_PLANT" xfId="715"/>
    <cellStyle name="Comma_PLDT" xfId="716"/>
    <cellStyle name="Comma_PLDT_02012000_Epe" xfId="717"/>
    <cellStyle name="Comma_pldt_1" xfId="718"/>
    <cellStyle name="Comma_PLDT_1_dimon" xfId="719"/>
    <cellStyle name="Comma_PLDT_1_dimon_02012000_Epe" xfId="720"/>
    <cellStyle name="Comma_pldt_2" xfId="721"/>
    <cellStyle name="Comma_pldt_Calculations" xfId="722"/>
    <cellStyle name="Comma_pldt_Calculations_02012000_Epe" xfId="723"/>
    <cellStyle name="Comma_PLDT_dimon" xfId="724"/>
    <cellStyle name="Comma_priccurv" xfId="725"/>
    <cellStyle name="Comma_PROCDS&amp;G" xfId="726"/>
    <cellStyle name="Comma_PROFILE4" xfId="727"/>
    <cellStyle name="Comma_Projects" xfId="728"/>
    <cellStyle name="Comma_Projects_02012000_Epe" xfId="729"/>
    <cellStyle name="Comma_Quarter End Months" xfId="730"/>
    <cellStyle name="Comma_Quarter End Months_02012000_Epe" xfId="731"/>
    <cellStyle name="Comma_r1" xfId="732"/>
    <cellStyle name="Comma_r1_02012000_Epe" xfId="733"/>
    <cellStyle name="Comma_Real Opr Cf" xfId="734"/>
    <cellStyle name="Comma_Real Opr Cf_02012000_Epe" xfId="735"/>
    <cellStyle name="Comma_Real Rev per Staff (1)" xfId="736"/>
    <cellStyle name="Comma_Real Rev per Staff (1)_02012000_Epe" xfId="737"/>
    <cellStyle name="Comma_Real Rev per Staff (2)" xfId="738"/>
    <cellStyle name="Comma_Real Rev per Staff (2)_02012000_Epe" xfId="739"/>
    <cellStyle name="Comma_Region 2-C&amp;W" xfId="740"/>
    <cellStyle name="Comma_Region 2-C&amp;W_02012000_Epe" xfId="741"/>
    <cellStyle name="Comma_Return on Rev" xfId="742"/>
    <cellStyle name="Comma_Return on Rev_02012000_Epe" xfId="743"/>
    <cellStyle name="Comma_Rev p line" xfId="744"/>
    <cellStyle name="Comma_Rev p line_02012000_Epe" xfId="745"/>
    <cellStyle name="Comma_RFI" xfId="746"/>
    <cellStyle name="Comma_RFI_02012000_Epe" xfId="747"/>
    <cellStyle name="Comma_RFI_1" xfId="748"/>
    <cellStyle name="Comma_RFI_1_02012000_Epe" xfId="749"/>
    <cellStyle name="Comma_ROACE" xfId="750"/>
    <cellStyle name="Comma_ROACE_02012000_Epe" xfId="751"/>
    <cellStyle name="Comma_ROCF (Tot)" xfId="752"/>
    <cellStyle name="Comma_ROCF (Tot)_02012000_Epe" xfId="753"/>
    <cellStyle name="Comma_Sales Order" xfId="754"/>
    <cellStyle name="Comma_Sales Order_02012000_Epe" xfId="755"/>
    <cellStyle name="Comma_SATOCPX" xfId="756"/>
    <cellStyle name="Comma_Sheet1" xfId="757"/>
    <cellStyle name="Comma_Sheet1_02012000_Epe" xfId="758"/>
    <cellStyle name="Comma_Sheet1_dimon" xfId="759"/>
    <cellStyle name="Comma_Sheet1_dimon_02012000_Epe" xfId="760"/>
    <cellStyle name="Comma_SHENREPT" xfId="761"/>
    <cellStyle name="Comma_Snr. CO" xfId="762"/>
    <cellStyle name="Comma_Snr. CO_02012000_Epe" xfId="763"/>
    <cellStyle name="Comma_sprint contr" xfId="764"/>
    <cellStyle name="Comma_sprint contr_02012000_Epe" xfId="765"/>
    <cellStyle name="Comma_Staff cost%rev" xfId="766"/>
    <cellStyle name="Comma_Staff cost%rev_02012000_Epe" xfId="767"/>
    <cellStyle name="Comma_Subcont File" xfId="768"/>
    <cellStyle name="Comma_Subcont File_02012000_Epe" xfId="769"/>
    <cellStyle name="Comma_Summary Info" xfId="770"/>
    <cellStyle name="Comma_Summary Info_02012000_Epe" xfId="771"/>
    <cellStyle name="Comma_SUMPAGE" xfId="772"/>
    <cellStyle name="Comma_TMSNW1" xfId="773"/>
    <cellStyle name="Comma_TMSNW2" xfId="774"/>
    <cellStyle name="Comma_TMSOCPX" xfId="775"/>
    <cellStyle name="Comma_TOTAL MTH" xfId="776"/>
    <cellStyle name="Comma_TOTAL MTH_02012000_Epe" xfId="777"/>
    <cellStyle name="Comma_TOTAL YTD" xfId="778"/>
    <cellStyle name="Comma_TOTAL YTD_02012000_Epe" xfId="779"/>
    <cellStyle name="Comma_Total-Rev dist." xfId="780"/>
    <cellStyle name="Comma_Total-Rev dist._02012000_Epe" xfId="781"/>
    <cellStyle name="Comma_TRANSDSC.XLS" xfId="782"/>
    <cellStyle name="Comma_TRANSFXA.XLS" xfId="783"/>
    <cellStyle name="Comma_TRANSFXA.XLS_1" xfId="784"/>
    <cellStyle name="Comma_TRANSFXA.XLS_1_02012000_Epe" xfId="785"/>
    <cellStyle name="Comma_TRANSIME.XLS" xfId="786"/>
    <cellStyle name="Comma_TRANSIME.XLS_TRANSDSC.XLS" xfId="787"/>
    <cellStyle name="Comma_TRANSIME.XLS_TRANSDSC.XLS_02012000_Epe" xfId="788"/>
    <cellStyle name="Comma_TRANSIME.XLS_TRANSFXA.XLS" xfId="789"/>
    <cellStyle name="Comma_VIRUS-EDY" xfId="790"/>
    <cellStyle name="Comma_VIRUS-EDY_02012000_Epe" xfId="791"/>
    <cellStyle name="Comma_White" xfId="792"/>
    <cellStyle name="Comma_White_02012000_Epe" xfId="793"/>
    <cellStyle name="Comma_WO Var. &amp; Tot. Exp." xfId="794"/>
    <cellStyle name="Comma_WO Var. &amp; Tot. Exp._02012000_Epe" xfId="795"/>
    <cellStyle name="Comma_WSP" xfId="796"/>
    <cellStyle name="Comma_yrcao" xfId="797"/>
    <cellStyle name="Comma_yrcao_02012000_Epe" xfId="798"/>
    <cellStyle name="Comma_YREND55" xfId="799"/>
    <cellStyle name="Comma_YREND55_02012000_Epe" xfId="800"/>
    <cellStyle name="Comma_YREND57" xfId="801"/>
    <cellStyle name="Comma_YREND57_02012000_Epe" xfId="802"/>
    <cellStyle name="Comma_YTDCUR" xfId="803"/>
    <cellStyle name="Comma_YTDCUR_02012000_Epe" xfId="804"/>
    <cellStyle name="Currency [0]_12matrix" xfId="805"/>
    <cellStyle name="Currency [0]_12matrix_02012000_Epe" xfId="806"/>
    <cellStyle name="Currency [0]_1995" xfId="807"/>
    <cellStyle name="Currency [0]_1995_02012000_Epe" xfId="808"/>
    <cellStyle name="Currency [0]_A" xfId="809"/>
    <cellStyle name="Currency [0]_A_02012000_Epe" xfId="810"/>
    <cellStyle name="Currency [0]_A_dimon" xfId="811"/>
    <cellStyle name="Currency [0]_A_dimon_02012000_Epe" xfId="812"/>
    <cellStyle name="Currency [0]_ACTUAL" xfId="813"/>
    <cellStyle name="Currency [0]_ACTUAL NA -OBU" xfId="814"/>
    <cellStyle name="Currency [0]_ACTUAL NA -OBU_02012000_Epe" xfId="815"/>
    <cellStyle name="Currency [0]_Actual vs." xfId="816"/>
    <cellStyle name="Currency [0]_Actual vs._02012000_Epe" xfId="817"/>
    <cellStyle name="Currency [0]_ACTUAL_02012000_Epe" xfId="818"/>
    <cellStyle name="Currency [0]_algasdefault" xfId="819"/>
    <cellStyle name="Currency [0]_Alternative1" xfId="820"/>
    <cellStyle name="Currency [0]_Alternative1_02012000_Epe" xfId="821"/>
    <cellStyle name="Currency [0]_Alternative1_1" xfId="822"/>
    <cellStyle name="Currency [0]_Alternative1_1_02012000_Epe" xfId="823"/>
    <cellStyle name="Currency [0]_App E" xfId="824"/>
    <cellStyle name="Currency [0]_App E_02012000_Epe" xfId="825"/>
    <cellStyle name="Currency [0]_Apr" xfId="826"/>
    <cellStyle name="Currency [0]_Apr_02012000_Epe" xfId="827"/>
    <cellStyle name="Currency [0]_Arapahoe" xfId="828"/>
    <cellStyle name="Currency [0]_Assumptions" xfId="829"/>
    <cellStyle name="Currency [0]_Assumptions_02012000_Epe" xfId="830"/>
    <cellStyle name="Currency [0]_bahiadefault" xfId="831"/>
    <cellStyle name="Currency [0]_Book3" xfId="832"/>
    <cellStyle name="Currency [0]_BOP" xfId="833"/>
    <cellStyle name="Currency [0]_BOP_02012000_Epe" xfId="834"/>
    <cellStyle name="Currency [0]_BOPBAL1" xfId="835"/>
    <cellStyle name="Currency [0]_BOPBAL1_02012000_Epe" xfId="836"/>
    <cellStyle name="Currency [0]_BOPCBU" xfId="837"/>
    <cellStyle name="Currency [0]_BOPCBU (2)" xfId="838"/>
    <cellStyle name="Currency [0]_BOPCBU (2)_02012000_Epe" xfId="839"/>
    <cellStyle name="Currency [0]_BOPCBU96" xfId="840"/>
    <cellStyle name="Currency [0]_BOPCBU96_02012000_Epe" xfId="841"/>
    <cellStyle name="Currency [0]_BOPCBU_02012000_Epe" xfId="842"/>
    <cellStyle name="Currency [0]_BSAPPE.XLS" xfId="843"/>
    <cellStyle name="Currency [0]_BSAPPE.XLS_02012000_Epe" xfId="844"/>
    <cellStyle name="Currency [0]_Calculations" xfId="845"/>
    <cellStyle name="Currency [0]_Calculations (2)" xfId="846"/>
    <cellStyle name="Currency [0]_Calculations (2)_02012000_Epe" xfId="847"/>
    <cellStyle name="Currency [0]_Calculations II" xfId="848"/>
    <cellStyle name="Currency [0]_Calculations II_02012000_Epe" xfId="849"/>
    <cellStyle name="Currency [0]_Calculations III" xfId="850"/>
    <cellStyle name="Currency [0]_Calculations III_02012000_Epe" xfId="851"/>
    <cellStyle name="Currency [0]_Calculations_02012000_Epe" xfId="852"/>
    <cellStyle name="Currency [0]_Calculations_1" xfId="853"/>
    <cellStyle name="Currency [0]_Calculations_1_02012000_Epe" xfId="854"/>
    <cellStyle name="Currency [0]_CAPEX" xfId="855"/>
    <cellStyle name="Currency [0]_CAPEX94" xfId="856"/>
    <cellStyle name="Currency [0]_CAPEX94_02012000_Epe" xfId="857"/>
    <cellStyle name="Currency [0]_CAPEX_02012000_Epe" xfId="858"/>
    <cellStyle name="Currency [0]_Cardig GHS" xfId="859"/>
    <cellStyle name="Currency [0]_Cardig GHS_02012000_Epe" xfId="860"/>
    <cellStyle name="Currency [0]_Cash Flows" xfId="861"/>
    <cellStyle name="Currency [0]_Cash Flows_02012000_Epe" xfId="862"/>
    <cellStyle name="Currency [0]_CBU BOX CHART V PLAN" xfId="863"/>
    <cellStyle name="Currency [0]_CBU BOX CHART V PLAN_02012000_Epe" xfId="864"/>
    <cellStyle name="Currency [0]_CCA" xfId="865"/>
    <cellStyle name="Currency [0]_CCA_02012000_Epe" xfId="866"/>
    <cellStyle name="Currency [0]_CCOCPX" xfId="867"/>
    <cellStyle name="Currency [0]_CCOCPX_02012000_Epe" xfId="868"/>
    <cellStyle name="Currency [0]_CHANGES.XLS" xfId="869"/>
    <cellStyle name="Currency [0]_CHANGES.XLS_02012000_Epe" xfId="870"/>
    <cellStyle name="Currency [0]_Charts" xfId="871"/>
    <cellStyle name="Currency [0]_Charts_02012000_Epe" xfId="872"/>
    <cellStyle name="Currency [0]_Comm File" xfId="873"/>
    <cellStyle name="Currency [0]_Comm File_02012000_Epe" xfId="874"/>
    <cellStyle name="Currency [0]_coperdefault" xfId="875"/>
    <cellStyle name="Currency [0]_Corp method" xfId="876"/>
    <cellStyle name="Currency [0]_Corp method_02012000_Epe" xfId="877"/>
    <cellStyle name="Currency [0]_Cost Code" xfId="878"/>
    <cellStyle name="Currency [0]_Cost Code_02012000_Epe" xfId="879"/>
    <cellStyle name="Currency [0]_CTCUR" xfId="880"/>
    <cellStyle name="Currency [0]_CTCUR_02012000_Epe" xfId="881"/>
    <cellStyle name="Currency [0]_CUMPLTCH" xfId="882"/>
    <cellStyle name="Currency [0]_CUMPLTCH_02012000_Epe" xfId="883"/>
    <cellStyle name="Currency [0]_DEFAULT" xfId="884"/>
    <cellStyle name="Currency [0]_dimon" xfId="885"/>
    <cellStyle name="Currency [0]_dimon_02012000_Epe" xfId="886"/>
    <cellStyle name="Currency [0]_dimon_1" xfId="887"/>
    <cellStyle name="Currency [0]_dimon_1_02012000_Epe" xfId="888"/>
    <cellStyle name="Currency [0]_dimon_2" xfId="889"/>
    <cellStyle name="Currency [0]_dimon_2_02012000_Epe" xfId="890"/>
    <cellStyle name="Currency [0]_Dowell C1b" xfId="891"/>
    <cellStyle name="Currency [0]_Dowell C1b_02012000_Epe" xfId="892"/>
    <cellStyle name="Currency [0]_Dowell-C1a" xfId="893"/>
    <cellStyle name="Currency [0]_Dowell-C1a_02012000_Epe" xfId="894"/>
    <cellStyle name="Currency [0]_E&amp;ONW1" xfId="895"/>
    <cellStyle name="Currency [0]_E&amp;ONW1_02012000_Epe" xfId="896"/>
    <cellStyle name="Currency [0]_E&amp;ONW2" xfId="897"/>
    <cellStyle name="Currency [0]_E&amp;ONW2_02012000_Epe" xfId="898"/>
    <cellStyle name="Currency [0]_E&amp;OOCPX" xfId="899"/>
    <cellStyle name="Currency [0]_E&amp;OOCPX_02012000_Epe" xfId="900"/>
    <cellStyle name="Currency [0]_emserdefault" xfId="901"/>
    <cellStyle name="Currency [0]_F&amp;COCPX" xfId="902"/>
    <cellStyle name="Currency [0]_F&amp;COCPX_02012000_Epe" xfId="903"/>
    <cellStyle name="Currency [0]_FEBRUARY" xfId="904"/>
    <cellStyle name="Currency [0]_FEBRUARY_02012000_Epe" xfId="905"/>
    <cellStyle name="Currency [0]_FF" xfId="906"/>
    <cellStyle name="Currency [0]_FF_02012000_Epe" xfId="907"/>
    <cellStyle name="Currency [0]_FP 20 A (1)" xfId="908"/>
    <cellStyle name="Currency [0]_FP 20 A (1)_02012000_Epe" xfId="909"/>
    <cellStyle name="Currency [0]_FP 20 A (2)" xfId="910"/>
    <cellStyle name="Currency [0]_FP 20 A (2)_02012000_Epe" xfId="911"/>
    <cellStyle name="Currency [0]_FP-20 (App. E)" xfId="912"/>
    <cellStyle name="Currency [0]_FP-20 (App. E)_02012000_Epe" xfId="913"/>
    <cellStyle name="Currency [0]_FP-20 (App.A) " xfId="914"/>
    <cellStyle name="Currency [0]_FP-20 (App.A) _02012000_Epe" xfId="915"/>
    <cellStyle name="Currency [0]_FP-20 (App.D)" xfId="916"/>
    <cellStyle name="Currency [0]_FP-20 (App.D)_02012000_Epe" xfId="917"/>
    <cellStyle name="Currency [0]_FP-20(App.B)" xfId="918"/>
    <cellStyle name="Currency [0]_FP-20(App.B)_02012000_Epe" xfId="919"/>
    <cellStyle name="Currency [0]_FP-20(C1) (a)" xfId="920"/>
    <cellStyle name="Currency [0]_FP-20(C1) (a) (2)" xfId="921"/>
    <cellStyle name="Currency [0]_FP-20(C1) (a) (2)_02012000_Epe" xfId="922"/>
    <cellStyle name="Currency [0]_FP-20(C1) (a)_02012000_Epe" xfId="923"/>
    <cellStyle name="Currency [0]_FP-20(C1) (b)" xfId="924"/>
    <cellStyle name="Currency [0]_FP-20(C1) (b) " xfId="925"/>
    <cellStyle name="Currency [0]_FP-20(C1) (b) (2)" xfId="926"/>
    <cellStyle name="Currency [0]_FP-20(C1) (b) (2)_02012000_Epe" xfId="927"/>
    <cellStyle name="Currency [0]_FP-20(C1) (b) _02012000_Epe" xfId="928"/>
    <cellStyle name="Currency [0]_FP-20(C1) (b)_02012000_Epe" xfId="929"/>
    <cellStyle name="Currency [0]_GCM" xfId="930"/>
    <cellStyle name="Currency [0]_GCM_02012000_Epe" xfId="931"/>
    <cellStyle name="Currency [0]_GenAssum" xfId="932"/>
    <cellStyle name="Currency [0]_GP C1a" xfId="933"/>
    <cellStyle name="Currency [0]_GP C1a_02012000_Epe" xfId="934"/>
    <cellStyle name="Currency [0]_GP C1b" xfId="935"/>
    <cellStyle name="Currency [0]_GP C1b_02012000_Epe" xfId="936"/>
    <cellStyle name="Currency [0]_GP_EI_3" xfId="937"/>
    <cellStyle name="Currency [0]_GQ C1A" xfId="938"/>
    <cellStyle name="Currency [0]_GQ C1A_02012000_Epe" xfId="939"/>
    <cellStyle name="Currency [0]_GQ C1B" xfId="940"/>
    <cellStyle name="Currency [0]_GQ C1B_02012000_Epe" xfId="941"/>
    <cellStyle name="Currency [0]_Inputs" xfId="942"/>
    <cellStyle name="Currency [0]_Inputs_02012000_Epe" xfId="943"/>
    <cellStyle name="Currency [0]_IPM C1b" xfId="944"/>
    <cellStyle name="Currency [0]_IPM C1b_02012000_Epe" xfId="945"/>
    <cellStyle name="Currency [0]_IPMC1a" xfId="946"/>
    <cellStyle name="Currency [0]_IPMC1a_02012000_Epe" xfId="947"/>
    <cellStyle name="Currency [0]_IS-Hold" xfId="948"/>
    <cellStyle name="Currency [0]_IS-Hold_02012000_Epe" xfId="949"/>
    <cellStyle name="Currency [0]_ITOCPX" xfId="950"/>
    <cellStyle name="Currency [0]_ITOCPX_02012000_Epe" xfId="951"/>
    <cellStyle name="Currency [0]_jancf" xfId="952"/>
    <cellStyle name="Currency [0]_jancf_02012000_Epe" xfId="953"/>
    <cellStyle name="Currency [0]_JUNMTH55" xfId="954"/>
    <cellStyle name="Currency [0]_JUNMTH55_02012000_Epe" xfId="955"/>
    <cellStyle name="Currency [0]_JUNMTH57" xfId="956"/>
    <cellStyle name="Currency [0]_JUNMTH57_02012000_Epe" xfId="957"/>
    <cellStyle name="Currency [0]_JUNYTD55" xfId="958"/>
    <cellStyle name="Currency [0]_JUNYTD55_02012000_Epe" xfId="959"/>
    <cellStyle name="Currency [0]_JUNYTD57" xfId="960"/>
    <cellStyle name="Currency [0]_JUNYTD57_02012000_Epe" xfId="961"/>
    <cellStyle name="Currency [0]_laroux" xfId="962"/>
    <cellStyle name="Currency [0]_laroux_02012000_Epe" xfId="963"/>
    <cellStyle name="Currency [0]_laroux_1" xfId="964"/>
    <cellStyle name="Currency [0]_laroux_1995" xfId="965"/>
    <cellStyle name="Currency [0]_laroux_1995_02012000_Epe" xfId="966"/>
    <cellStyle name="Currency [0]_laroux_1_02012000_Epe" xfId="967"/>
    <cellStyle name="Currency [0]_laroux_1_dimon" xfId="968"/>
    <cellStyle name="Currency [0]_laroux_1_dimon_1" xfId="969"/>
    <cellStyle name="Currency [0]_laroux_1_dimon_1_02012000_Epe" xfId="970"/>
    <cellStyle name="Currency [0]_laroux_1_dimon_2" xfId="971"/>
    <cellStyle name="Currency [0]_laroux_1_dimon_2_02012000_Epe" xfId="972"/>
    <cellStyle name="Currency [0]_laroux_1_dimon_3" xfId="973"/>
    <cellStyle name="Currency [0]_laroux_1_dimon_3_02012000_Epe" xfId="974"/>
    <cellStyle name="Currency [0]_laroux_1_laroux" xfId="975"/>
    <cellStyle name="Currency [0]_laroux_1_laroux_02012000_Epe" xfId="976"/>
    <cellStyle name="Currency [0]_laroux_1_laroux_1" xfId="977"/>
    <cellStyle name="Currency [0]_laroux_1_laroux_1_02012000_Epe" xfId="978"/>
    <cellStyle name="Currency [0]_laroux_1_laroux_dimon" xfId="979"/>
    <cellStyle name="Currency [0]_laroux_1_laroux_dimon_02012000_Epe" xfId="980"/>
    <cellStyle name="Currency [0]_laroux_1_Locas" xfId="981"/>
    <cellStyle name="Currency [0]_laroux_1_Locas_02012000_Epe" xfId="982"/>
    <cellStyle name="Currency [0]_laroux_1_pldt" xfId="983"/>
    <cellStyle name="Currency [0]_laroux_1_pldt_02012000_Epe" xfId="984"/>
    <cellStyle name="Currency [0]_laroux_1_PLDT_dimon" xfId="985"/>
    <cellStyle name="Currency [0]_laroux_1_PLDT_dimon_02012000_Epe" xfId="986"/>
    <cellStyle name="Currency [0]_laroux_1_VERA" xfId="987"/>
    <cellStyle name="Currency [0]_laroux_1_VERA_02012000_Epe" xfId="988"/>
    <cellStyle name="Currency [0]_laroux_1_VERA_1" xfId="989"/>
    <cellStyle name="Currency [0]_laroux_1_VERA_1_02012000_Epe" xfId="990"/>
    <cellStyle name="Currency [0]_laroux_1_VIRUS-EDY" xfId="991"/>
    <cellStyle name="Currency [0]_laroux_1_VIRUS-EDY_02012000_Epe" xfId="992"/>
    <cellStyle name="Currency [0]_laroux_2" xfId="993"/>
    <cellStyle name="Currency [0]_laroux_2_02012000_Epe" xfId="994"/>
    <cellStyle name="Currency [0]_laroux_2_dimon" xfId="995"/>
    <cellStyle name="Currency [0]_laroux_2_dimon_02012000_Epe" xfId="996"/>
    <cellStyle name="Currency [0]_laroux_2_dimon_1" xfId="997"/>
    <cellStyle name="Currency [0]_laroux_2_dimon_1_02012000_Epe" xfId="998"/>
    <cellStyle name="Currency [0]_laroux_2_dimon_2" xfId="999"/>
    <cellStyle name="Currency [0]_laroux_2_dimon_2_02012000_Epe" xfId="1000"/>
    <cellStyle name="Currency [0]_laroux_2_dimon_3" xfId="1001"/>
    <cellStyle name="Currency [0]_laroux_2_dimon_3_02012000_Epe" xfId="1002"/>
    <cellStyle name="Currency [0]_laroux_2_laroux" xfId="1003"/>
    <cellStyle name="Currency [0]_laroux_2_laroux_02012000_Epe" xfId="1004"/>
    <cellStyle name="Currency [0]_laroux_2_laroux_dimon" xfId="1005"/>
    <cellStyle name="Currency [0]_laroux_2_laroux_dimon_02012000_Epe" xfId="1006"/>
    <cellStyle name="Currency [0]_laroux_2_Locas" xfId="1007"/>
    <cellStyle name="Currency [0]_laroux_2_Locas_02012000_Epe" xfId="1008"/>
    <cellStyle name="Currency [0]_laroux_2_pldt" xfId="1009"/>
    <cellStyle name="Currency [0]_laroux_2_pldt_02012000_Epe" xfId="1010"/>
    <cellStyle name="Currency [0]_laroux_2_PLDT_dimon" xfId="1011"/>
    <cellStyle name="Currency [0]_laroux_2_PLDT_dimon_02012000_Epe" xfId="1012"/>
    <cellStyle name="Currency [0]_laroux_2_VIRUS-EDY" xfId="1013"/>
    <cellStyle name="Currency [0]_laroux_2_VIRUS-EDY_02012000_Epe" xfId="1014"/>
    <cellStyle name="Currency [0]_laroux_3" xfId="1015"/>
    <cellStyle name="Currency [0]_laroux_3_02012000_Epe" xfId="1016"/>
    <cellStyle name="Currency [0]_laroux_3_dimon" xfId="1017"/>
    <cellStyle name="Currency [0]_laroux_3_dimon_1" xfId="1018"/>
    <cellStyle name="Currency [0]_laroux_3_dimon_1_02012000_Epe" xfId="1019"/>
    <cellStyle name="Currency [0]_laroux_3_dimon_2" xfId="1020"/>
    <cellStyle name="Currency [0]_laroux_3_dimon_2_02012000_Epe" xfId="1021"/>
    <cellStyle name="Currency [0]_laroux_3_dimon_3" xfId="1022"/>
    <cellStyle name="Currency [0]_laroux_3_dimon_3_02012000_Epe" xfId="1023"/>
    <cellStyle name="Currency [0]_laroux_4" xfId="1024"/>
    <cellStyle name="Currency [0]_laroux_4_02012000_Epe" xfId="1025"/>
    <cellStyle name="Currency [0]_laroux_4_dimon" xfId="1026"/>
    <cellStyle name="Currency [0]_laroux_4_dimon_02012000_Epe" xfId="1027"/>
    <cellStyle name="Currency [0]_laroux_4_dimon_1" xfId="1028"/>
    <cellStyle name="Currency [0]_laroux_4_dimon_1_02012000_Epe" xfId="1029"/>
    <cellStyle name="Currency [0]_laroux_5" xfId="1030"/>
    <cellStyle name="Currency [0]_laroux_5_02012000_Epe" xfId="1031"/>
    <cellStyle name="Currency [0]_laroux_6" xfId="1032"/>
    <cellStyle name="Currency [0]_laroux_6_02012000_Epe" xfId="1033"/>
    <cellStyle name="Currency [0]_laroux_7" xfId="1034"/>
    <cellStyle name="Currency [0]_laroux_7_02012000_Epe" xfId="1035"/>
    <cellStyle name="Currency [0]_laroux_dimon" xfId="1036"/>
    <cellStyle name="Currency [0]_laroux_dimon_1" xfId="1037"/>
    <cellStyle name="Currency [0]_laroux_dimon_1_02012000_Epe" xfId="1038"/>
    <cellStyle name="Currency [0]_laroux_dimon_2" xfId="1039"/>
    <cellStyle name="Currency [0]_laroux_dimon_2_02012000_Epe" xfId="1040"/>
    <cellStyle name="Currency [0]_laroux_dimon_3" xfId="1041"/>
    <cellStyle name="Currency [0]_laroux_dimon_3_02012000_Epe" xfId="1042"/>
    <cellStyle name="Currency [0]_laroux_laroux" xfId="1043"/>
    <cellStyle name="Currency [0]_laroux_laroux_02012000_Epe" xfId="1044"/>
    <cellStyle name="Currency [0]_laroux_laroux_1" xfId="1045"/>
    <cellStyle name="Currency [0]_laroux_laroux_1_02012000_Epe" xfId="1046"/>
    <cellStyle name="Currency [0]_laroux_laroux_1_dimon" xfId="1047"/>
    <cellStyle name="Currency [0]_laroux_laroux_1_dimon_02012000_Epe" xfId="1048"/>
    <cellStyle name="Currency [0]_laroux_laroux_dimon" xfId="1049"/>
    <cellStyle name="Currency [0]_laroux_laroux_dimon_02012000_Epe" xfId="1050"/>
    <cellStyle name="Currency [0]_laroux_Locas" xfId="1051"/>
    <cellStyle name="Currency [0]_laroux_Locas_02012000_Epe" xfId="1052"/>
    <cellStyle name="Currency [0]_laroux_MATERAL2" xfId="1053"/>
    <cellStyle name="Currency [0]_laroux_MATERAL2_02012000_Epe" xfId="1054"/>
    <cellStyle name="Currency [0]_laroux_MATERAL2_dimon" xfId="1055"/>
    <cellStyle name="Currency [0]_laroux_MATERAL2_dimon_1" xfId="1056"/>
    <cellStyle name="Currency [0]_laroux_MATERAL2_dimon_1_02012000_Epe" xfId="1057"/>
    <cellStyle name="Currency [0]_laroux_MATERAL2_laroux" xfId="1058"/>
    <cellStyle name="Currency [0]_laroux_MATERAL2_laroux_02012000_Epe" xfId="1059"/>
    <cellStyle name="Currency [0]_laroux_MATERAL2_laroux_dimon" xfId="1060"/>
    <cellStyle name="Currency [0]_laroux_MATERAL2_laroux_dimon_02012000_Epe" xfId="1061"/>
    <cellStyle name="Currency [0]_laroux_MATERAL2_pldt" xfId="1062"/>
    <cellStyle name="Currency [0]_laroux_MATERAL2_pldt_02012000_Epe" xfId="1063"/>
    <cellStyle name="Currency [0]_laroux_MATERAL2_VERA" xfId="1064"/>
    <cellStyle name="Currency [0]_laroux_MATERAL2_VERA_02012000_Epe" xfId="1065"/>
    <cellStyle name="Currency [0]_laroux_MATERAL2_VIRUS-EDY" xfId="1066"/>
    <cellStyle name="Currency [0]_laroux_MATERAL2_VIRUS-EDY_02012000_Epe" xfId="1067"/>
    <cellStyle name="Currency [0]_laroux_mud plant bolted" xfId="1068"/>
    <cellStyle name="Currency [0]_laroux_mud plant bolted_02012000_Epe" xfId="1069"/>
    <cellStyle name="Currency [0]_laroux_mud plant bolted_dimon" xfId="1070"/>
    <cellStyle name="Currency [0]_laroux_mud plant bolted_dimon_02012000_Epe" xfId="1071"/>
    <cellStyle name="Currency [0]_laroux_mud plant bolted_dimon_1" xfId="1072"/>
    <cellStyle name="Currency [0]_laroux_mud plant bolted_dimon_1_02012000_Epe" xfId="1073"/>
    <cellStyle name="Currency [0]_laroux_pldt" xfId="1074"/>
    <cellStyle name="Currency [0]_laroux_pldt_02012000_Epe" xfId="1075"/>
    <cellStyle name="Currency [0]_laroux_pldt_1" xfId="1076"/>
    <cellStyle name="Currency [0]_laroux_pldt_1_02012000_Epe" xfId="1077"/>
    <cellStyle name="Currency [0]_laroux_VERA" xfId="1078"/>
    <cellStyle name="Currency [0]_laroux_VERA_02012000_Epe" xfId="1079"/>
    <cellStyle name="Currency [0]_laroux_VERA_1" xfId="1080"/>
    <cellStyle name="Currency [0]_laroux_VERA_1_02012000_Epe" xfId="1081"/>
    <cellStyle name="Currency [0]_laroux_VIRUS-EDY" xfId="1082"/>
    <cellStyle name="Currency [0]_laroux_VIRUS-EDY_02012000_Epe" xfId="1083"/>
    <cellStyle name="Currency [0]_List" xfId="1084"/>
    <cellStyle name="Currency [0]_List_02012000_Epe" xfId="1085"/>
    <cellStyle name="Currency [0]_MATERAL2" xfId="1086"/>
    <cellStyle name="Currency [0]_MATERAL2_02012000_Epe" xfId="1087"/>
    <cellStyle name="Currency [0]_MATERAL2_dimon" xfId="1088"/>
    <cellStyle name="Currency [0]_MATERAL2_dimon_02012000_Epe" xfId="1089"/>
    <cellStyle name="Currency [0]_MATERAL2_dimon_1" xfId="1090"/>
    <cellStyle name="Currency [0]_MATERAL2_dimon_1_02012000_Epe" xfId="1091"/>
    <cellStyle name="Currency [0]_may98dcr" xfId="1092"/>
    <cellStyle name="Currency [0]_MKGOCPX" xfId="1093"/>
    <cellStyle name="Currency [0]_MKGOCPX_02012000_Epe" xfId="1094"/>
    <cellStyle name="Currency [0]_MOBCPX" xfId="1095"/>
    <cellStyle name="Currency [0]_MOBCPX_02012000_Epe" xfId="1096"/>
    <cellStyle name="Currency [0]_mud plant bolted" xfId="1097"/>
    <cellStyle name="Currency [0]_mud plant bolted_02012000_Epe" xfId="1098"/>
    <cellStyle name="Currency [0]_mud plant bolted_dimon" xfId="1099"/>
    <cellStyle name="Currency [0]_mud plant bolted_dimon_1" xfId="1100"/>
    <cellStyle name="Currency [0]_mud plant bolted_dimon_1_02012000_Epe" xfId="1101"/>
    <cellStyle name="Currency [0]_mud plant bolted_laroux" xfId="1102"/>
    <cellStyle name="Currency [0]_mud plant bolted_laroux_02012000_Epe" xfId="1103"/>
    <cellStyle name="Currency [0]_mud plant bolted_laroux_dimon" xfId="1104"/>
    <cellStyle name="Currency [0]_mud plant bolted_laroux_dimon_02012000_Epe" xfId="1105"/>
    <cellStyle name="Currency [0]_mud plant bolted_pldt" xfId="1106"/>
    <cellStyle name="Currency [0]_mud plant bolted_pldt_02012000_Epe" xfId="1107"/>
    <cellStyle name="Currency [0]_mud plant bolted_VERA" xfId="1108"/>
    <cellStyle name="Currency [0]_mud plant bolted_VERA_02012000_Epe" xfId="1109"/>
    <cellStyle name="Currency [0]_mud plant bolted_VIRUS-EDY" xfId="1110"/>
    <cellStyle name="Currency [0]_mud plant bolted_VIRUS-EDY_02012000_Epe" xfId="1111"/>
    <cellStyle name="Currency [0]_NA WITHOUT GOV'T &amp; PNX" xfId="1112"/>
    <cellStyle name="Currency [0]_NA WITHOUT GOV'T &amp; PNX_02012000_Epe" xfId="1113"/>
    <cellStyle name="Currency [0]_NAOBU10" xfId="1114"/>
    <cellStyle name="Currency [0]_NAOBU10_02012000_Epe" xfId="1115"/>
    <cellStyle name="Currency [0]_NAT ACCT" xfId="1116"/>
    <cellStyle name="Currency [0]_NAT ACCT_02012000_Epe" xfId="1117"/>
    <cellStyle name="Currency [0]_NSACTUAL.XLS" xfId="1118"/>
    <cellStyle name="Currency [0]_NSACTUAL.XLS_02012000_Epe" xfId="1119"/>
    <cellStyle name="Currency [0]_NX00" xfId="1120"/>
    <cellStyle name="Currency [0]_NX00_02012000_Epe" xfId="1121"/>
    <cellStyle name="Currency [0]_Odner" xfId="1122"/>
    <cellStyle name="Currency [0]_Odner (2)" xfId="1123"/>
    <cellStyle name="Currency [0]_Odner (2)_02012000_Epe" xfId="1124"/>
    <cellStyle name="Currency [0]_Odner (3)" xfId="1125"/>
    <cellStyle name="Currency [0]_Odner (3)_02012000_Epe" xfId="1126"/>
    <cellStyle name="Currency [0]_Odner_02012000_Epe" xfId="1127"/>
    <cellStyle name="Currency [0]_OSMOCPX" xfId="1128"/>
    <cellStyle name="Currency [0]_OSMOCPX_02012000_Epe" xfId="1129"/>
    <cellStyle name="Currency [0]_Other Months" xfId="1130"/>
    <cellStyle name="Currency [0]_Other Months_02012000_Epe" xfId="1131"/>
    <cellStyle name="Currency [0]_Outlook" xfId="1132"/>
    <cellStyle name="Currency [0]_Outlook_02012000_Epe" xfId="1133"/>
    <cellStyle name="Currency [0]_pbdefault" xfId="1134"/>
    <cellStyle name="Currency [0]_percentages" xfId="1135"/>
    <cellStyle name="Currency [0]_percentages_02012000_Epe" xfId="1136"/>
    <cellStyle name="Currency [0]_PERSONAL" xfId="1137"/>
    <cellStyle name="Currency [0]_PERSONAL_02012000_Epe" xfId="1138"/>
    <cellStyle name="Currency [0]_PGMKOCPX" xfId="1139"/>
    <cellStyle name="Currency [0]_PGMKOCPX_02012000_Epe" xfId="1140"/>
    <cellStyle name="Currency [0]_PGNW1" xfId="1141"/>
    <cellStyle name="Currency [0]_PGNW1_02012000_Epe" xfId="1142"/>
    <cellStyle name="Currency [0]_PGNW2" xfId="1143"/>
    <cellStyle name="Currency [0]_PGNW2_02012000_Epe" xfId="1144"/>
    <cellStyle name="Currency [0]_PGNWOCPX" xfId="1145"/>
    <cellStyle name="Currency [0]_PGNWOCPX_02012000_Epe" xfId="1146"/>
    <cellStyle name="Currency [0]_Pink" xfId="1147"/>
    <cellStyle name="Currency [0]_Pink_02012000_Epe" xfId="1148"/>
    <cellStyle name="Currency [0]_Plan" xfId="1149"/>
    <cellStyle name="Currency [0]_Plan_02012000_Epe" xfId="1150"/>
    <cellStyle name="Currency [0]_PLANT" xfId="1151"/>
    <cellStyle name="Currency [0]_PLANT_02012000_Epe" xfId="1152"/>
    <cellStyle name="Currency [0]_PLDT" xfId="1153"/>
    <cellStyle name="Currency [0]_PLDT_02012000_Epe" xfId="1154"/>
    <cellStyle name="Currency [0]_pldt_1" xfId="1155"/>
    <cellStyle name="Currency [0]_pldt_1_02012000_Epe" xfId="1156"/>
    <cellStyle name="Currency [0]_PLDT_1_dimon" xfId="1157"/>
    <cellStyle name="Currency [0]_PLDT_1_dimon_02012000_Epe" xfId="1158"/>
    <cellStyle name="Currency [0]_pldt_1_dimon_1" xfId="1159"/>
    <cellStyle name="Currency [0]_pldt_1_dimon_1_02012000_Epe" xfId="1160"/>
    <cellStyle name="Currency [0]_pldt_2" xfId="1161"/>
    <cellStyle name="Currency [0]_pldt_2_02012000_Epe" xfId="1162"/>
    <cellStyle name="Currency [0]_pldt_Calculations" xfId="1163"/>
    <cellStyle name="Currency [0]_pldt_Calculations_02012000_Epe" xfId="1164"/>
    <cellStyle name="Currency [0]_PLDT_dimon" xfId="1165"/>
    <cellStyle name="Currency [0]_PLDT_dimon_02012000_Epe" xfId="1166"/>
    <cellStyle name="Currency [0]_pldt_dimon_1" xfId="1167"/>
    <cellStyle name="Currency [0]_pldt_dimon_1_02012000_Epe" xfId="1168"/>
    <cellStyle name="Currency [0]_priccurv" xfId="1169"/>
    <cellStyle name="Currency [0]_PROCDS&amp;G" xfId="1170"/>
    <cellStyle name="Currency [0]_PROCDS&amp;G_02012000_Epe" xfId="1171"/>
    <cellStyle name="Currency [0]_PROFILE4" xfId="1172"/>
    <cellStyle name="Currency [0]_Projects" xfId="1173"/>
    <cellStyle name="Currency [0]_Projects_02012000_Epe" xfId="1174"/>
    <cellStyle name="Currency [0]_Quarter End Months" xfId="1175"/>
    <cellStyle name="Currency [0]_Quarter End Months_02012000_Epe" xfId="1176"/>
    <cellStyle name="Currency [0]_r1" xfId="1177"/>
    <cellStyle name="Currency [0]_RFI" xfId="1178"/>
    <cellStyle name="Currency [0]_RFI_02012000_Epe" xfId="1179"/>
    <cellStyle name="Currency [0]_RFI_1" xfId="1180"/>
    <cellStyle name="Currency [0]_RFI_1_02012000_Epe" xfId="1181"/>
    <cellStyle name="Currency [0]_Sales Order" xfId="1182"/>
    <cellStyle name="Currency [0]_Sales Order_02012000_Epe" xfId="1183"/>
    <cellStyle name="Currency [0]_SATOCPX" xfId="1184"/>
    <cellStyle name="Currency [0]_SATOCPX_02012000_Epe" xfId="1185"/>
    <cellStyle name="Currency [0]_Sheet1" xfId="1186"/>
    <cellStyle name="Currency [0]_Sheet1 (2)" xfId="1187"/>
    <cellStyle name="Currency [0]_Sheet1 (2)_02012000_Epe" xfId="1188"/>
    <cellStyle name="Currency [0]_Sheet1_02012000_Epe" xfId="1189"/>
    <cellStyle name="Currency [0]_Sheet1_dimon" xfId="1190"/>
    <cellStyle name="Currency [0]_Sheet1_dimon_02012000_Epe" xfId="1191"/>
    <cellStyle name="Currency [0]_SHENREPT" xfId="1192"/>
    <cellStyle name="Currency [0]_SHENREPT_02012000_Epe" xfId="1193"/>
    <cellStyle name="Currency [0]_Snr. CO" xfId="1194"/>
    <cellStyle name="Currency [0]_Snr. CO_02012000_Epe" xfId="1195"/>
    <cellStyle name="Currency [0]_sprint contr" xfId="1196"/>
    <cellStyle name="Currency [0]_sprint contr_02012000_Epe" xfId="1197"/>
    <cellStyle name="Currency [0]_Subcont File" xfId="1198"/>
    <cellStyle name="Currency [0]_Subcont File_02012000_Epe" xfId="1199"/>
    <cellStyle name="Currency [0]_Summary Info" xfId="1200"/>
    <cellStyle name="Currency [0]_Summary Info_02012000_Epe" xfId="1201"/>
    <cellStyle name="Currency [0]_SUMPAGE" xfId="1202"/>
    <cellStyle name="Currency [0]_SUMPAGE_02012000_Epe" xfId="1203"/>
    <cellStyle name="Currency [0]_TMSNW1" xfId="1204"/>
    <cellStyle name="Currency [0]_TMSNW1_02012000_Epe" xfId="1205"/>
    <cellStyle name="Currency [0]_TMSNW2" xfId="1206"/>
    <cellStyle name="Currency [0]_TMSNW2_02012000_Epe" xfId="1207"/>
    <cellStyle name="Currency [0]_TMSOCPX" xfId="1208"/>
    <cellStyle name="Currency [0]_TMSOCPX_02012000_Epe" xfId="1209"/>
    <cellStyle name="Currency [0]_TOTAL MTH" xfId="1210"/>
    <cellStyle name="Currency [0]_TOTAL MTH_02012000_Epe" xfId="1211"/>
    <cellStyle name="Currency [0]_TOTAL YTD" xfId="1212"/>
    <cellStyle name="Currency [0]_TOTAL YTD_02012000_Epe" xfId="1213"/>
    <cellStyle name="Currency [0]_TRANSDSC.XLS" xfId="1214"/>
    <cellStyle name="Currency [0]_TRANSDSC.XLS_02012000_Epe" xfId="1215"/>
    <cellStyle name="Currency [0]_TRANSFXA.XLS" xfId="1216"/>
    <cellStyle name="Currency [0]_TRANSFXA.XLS_02012000_Epe" xfId="1217"/>
    <cellStyle name="Currency [0]_TRANSFXA.XLS_1" xfId="1218"/>
    <cellStyle name="Currency [0]_TRANSFXA.XLS_1_02012000_Epe" xfId="1219"/>
    <cellStyle name="Currency [0]_TRANSIME.XLS" xfId="1220"/>
    <cellStyle name="Currency [0]_TRANSIME.XLS_02012000_Epe" xfId="1221"/>
    <cellStyle name="Currency [0]_TRANSIME.XLS_TRANSDSC.XLS" xfId="1222"/>
    <cellStyle name="Currency [0]_TRANSIME.XLS_TRANSDSC.XLS_02012000_Epe" xfId="1223"/>
    <cellStyle name="Currency [0]_TRANSIME.XLS_TRANSFXA.XLS" xfId="1224"/>
    <cellStyle name="Currency [0]_TRANSIME.XLS_TRANSFXA.XLS_02012000_Epe" xfId="1225"/>
    <cellStyle name="Currency [0]_VERA" xfId="1226"/>
    <cellStyle name="Currency [0]_VERA_02012000_Epe" xfId="1227"/>
    <cellStyle name="Currency [0]_VIRUS-EDY" xfId="1228"/>
    <cellStyle name="Currency [0]_VIRUS-EDY_02012000_Epe" xfId="1229"/>
    <cellStyle name="Currency [0]_VIRUS-EDY_1" xfId="1230"/>
    <cellStyle name="Currency [0]_VIRUS-EDY_1_02012000_Epe" xfId="1231"/>
    <cellStyle name="Currency [0]_White" xfId="1232"/>
    <cellStyle name="Currency [0]_White_02012000_Epe" xfId="1233"/>
    <cellStyle name="Currency [0]_WO Var. &amp; Tot. Exp." xfId="1234"/>
    <cellStyle name="Currency [0]_WO Var. &amp; Tot. Exp._02012000_Epe" xfId="1235"/>
    <cellStyle name="Currency [0]_WSP" xfId="1236"/>
    <cellStyle name="Currency [0]_WSP_02012000_Epe" xfId="1237"/>
    <cellStyle name="Currency [0]_yrcao" xfId="1238"/>
    <cellStyle name="Currency [0]_yrcao_02012000_Epe" xfId="1239"/>
    <cellStyle name="Currency [0]_YREND55" xfId="1240"/>
    <cellStyle name="Currency [0]_YREND55_02012000_Epe" xfId="1241"/>
    <cellStyle name="Currency [0]_YREND57" xfId="1242"/>
    <cellStyle name="Currency [0]_YREND57_02012000_Epe" xfId="1243"/>
    <cellStyle name="Currency [0]_YTDCUR" xfId="1244"/>
    <cellStyle name="Currency [0]_YTDCUR_02012000_Epe" xfId="1245"/>
    <cellStyle name="Currency_12matrix" xfId="1246"/>
    <cellStyle name="Currency_12matrix_02012000_Epe" xfId="1247"/>
    <cellStyle name="Currency_1995" xfId="1248"/>
    <cellStyle name="Currency_1995_02012000_Epe" xfId="1249"/>
    <cellStyle name="Currency_A" xfId="1250"/>
    <cellStyle name="Currency_A_02012000_Epe" xfId="1251"/>
    <cellStyle name="Currency_A_dimon" xfId="1252"/>
    <cellStyle name="Currency_A_dimon_02012000_Epe" xfId="1253"/>
    <cellStyle name="Currency_ACTUAL" xfId="1254"/>
    <cellStyle name="Currency_ACTUAL NA -OBU" xfId="1255"/>
    <cellStyle name="Currency_ACTUAL NA -OBU_02012000_Epe" xfId="1256"/>
    <cellStyle name="Currency_Actual vs." xfId="1257"/>
    <cellStyle name="Currency_Actual vs._02012000_Epe" xfId="1258"/>
    <cellStyle name="Currency_ACTUAL_02012000_Epe" xfId="1259"/>
    <cellStyle name="Currency_algasdefault" xfId="1260"/>
    <cellStyle name="Currency_algasdefault_1" xfId="1261"/>
    <cellStyle name="Currency_Alternative1" xfId="1262"/>
    <cellStyle name="Currency_Alternative1_02012000_Epe" xfId="1263"/>
    <cellStyle name="Currency_Alternative1_1" xfId="1264"/>
    <cellStyle name="Currency_Alternative1_1_02012000_Epe" xfId="1265"/>
    <cellStyle name="Currency_App E" xfId="1266"/>
    <cellStyle name="Currency_App E_02012000_Epe" xfId="1267"/>
    <cellStyle name="Currency_Apr" xfId="1268"/>
    <cellStyle name="Currency_Apr_02012000_Epe" xfId="1269"/>
    <cellStyle name="Currency_Arapahoe" xfId="1270"/>
    <cellStyle name="Currency_Assumptions" xfId="1271"/>
    <cellStyle name="Currency_Assumptions_02012000_Epe" xfId="1272"/>
    <cellStyle name="Currency_bahiadefault" xfId="1273"/>
    <cellStyle name="Currency_bahiadefault_1" xfId="1274"/>
    <cellStyle name="Currency_BIGOUT" xfId="1275"/>
    <cellStyle name="Currency_Book3" xfId="1276"/>
    <cellStyle name="Currency_BOP" xfId="1277"/>
    <cellStyle name="Currency_BOP_02012000_Epe" xfId="1278"/>
    <cellStyle name="Currency_BOPBAL1" xfId="1279"/>
    <cellStyle name="Currency_BOPBAL1_02012000_Epe" xfId="1280"/>
    <cellStyle name="Currency_BOPCBU" xfId="1281"/>
    <cellStyle name="Currency_BOPCBU (2)" xfId="1282"/>
    <cellStyle name="Currency_BOPCBU (2)_02012000_Epe" xfId="1283"/>
    <cellStyle name="Currency_BOPCBU96" xfId="1284"/>
    <cellStyle name="Currency_BOPCBU96_02012000_Epe" xfId="1285"/>
    <cellStyle name="Currency_BOPCBU_02012000_Epe" xfId="1286"/>
    <cellStyle name="Currency_BSAPPE.XLS" xfId="1287"/>
    <cellStyle name="Currency_BSAPPE.XLS_02012000_Epe" xfId="1288"/>
    <cellStyle name="Currency_Calculations" xfId="1289"/>
    <cellStyle name="Currency_Calculations (2)" xfId="1290"/>
    <cellStyle name="Currency_Calculations (2)_02012000_Epe" xfId="1291"/>
    <cellStyle name="Currency_Calculations II" xfId="1292"/>
    <cellStyle name="Currency_Calculations II_02012000_Epe" xfId="1293"/>
    <cellStyle name="Currency_Calculations III" xfId="1294"/>
    <cellStyle name="Currency_Calculations III_02012000_Epe" xfId="1295"/>
    <cellStyle name="Currency_Calculations_02012000_Epe" xfId="1296"/>
    <cellStyle name="Currency_Calculations_1" xfId="1297"/>
    <cellStyle name="Currency_Calculations_1_02012000_Epe" xfId="1298"/>
    <cellStyle name="Currency_CAPEX" xfId="1299"/>
    <cellStyle name="Currency_CAPEX94" xfId="1300"/>
    <cellStyle name="Currency_CAPEX94_02012000_Epe" xfId="1301"/>
    <cellStyle name="Currency_CAPEX_02012000_Epe" xfId="1302"/>
    <cellStyle name="Currency_Cardig GHS" xfId="1303"/>
    <cellStyle name="Currency_Cardig GHS_02012000_Epe" xfId="1304"/>
    <cellStyle name="Currency_Cash Flows" xfId="1305"/>
    <cellStyle name="Currency_Cash Flows_02012000_Epe" xfId="1306"/>
    <cellStyle name="Currency_CBU BOX CHART V PLAN" xfId="1307"/>
    <cellStyle name="Currency_CBU BOX CHART V PLAN_02012000_Epe" xfId="1308"/>
    <cellStyle name="Currency_CCA" xfId="1309"/>
    <cellStyle name="Currency_CCOCPX" xfId="1310"/>
    <cellStyle name="Currency_CCOCPX_02012000_Epe" xfId="1311"/>
    <cellStyle name="Currency_CHANGES.XLS" xfId="1312"/>
    <cellStyle name="Currency_CHANGES.XLS_02012000_Epe" xfId="1313"/>
    <cellStyle name="Currency_Charts" xfId="1314"/>
    <cellStyle name="Currency_Charts_02012000_Epe" xfId="1315"/>
    <cellStyle name="Currency_Comm File" xfId="1316"/>
    <cellStyle name="Currency_coperdefault" xfId="1317"/>
    <cellStyle name="Currency_coperdefault_1" xfId="1318"/>
    <cellStyle name="Currency_Corp method" xfId="1319"/>
    <cellStyle name="Currency_Corp method_02012000_Epe" xfId="1320"/>
    <cellStyle name="Currency_Cost Code" xfId="1321"/>
    <cellStyle name="Currency_Cost Code_02012000_Epe" xfId="1322"/>
    <cellStyle name="Currency_CTCUR" xfId="1323"/>
    <cellStyle name="Currency_CTCUR_02012000_Epe" xfId="1324"/>
    <cellStyle name="Currency_CUMPLTCH" xfId="1325"/>
    <cellStyle name="Currency_CUMPLTCH_02012000_Epe" xfId="1326"/>
    <cellStyle name="Currency_DEFAULT" xfId="1327"/>
    <cellStyle name="Currency_dimon" xfId="1328"/>
    <cellStyle name="Currency_dimon_02012000_Epe" xfId="1329"/>
    <cellStyle name="Currency_dimon_1" xfId="1330"/>
    <cellStyle name="Currency_dimon_1_02012000_Epe" xfId="1331"/>
    <cellStyle name="Currency_dimon_2" xfId="1332"/>
    <cellStyle name="Currency_dimon_2_02012000_Epe" xfId="1333"/>
    <cellStyle name="Currency_Dowell C1b" xfId="1334"/>
    <cellStyle name="Currency_Dowell C1b_02012000_Epe" xfId="1335"/>
    <cellStyle name="Currency_Dowell-C1a" xfId="1336"/>
    <cellStyle name="Currency_Dowell-C1a_02012000_Epe" xfId="1337"/>
    <cellStyle name="Currency_E&amp;ONW1" xfId="1338"/>
    <cellStyle name="Currency_E&amp;ONW1_02012000_Epe" xfId="1339"/>
    <cellStyle name="Currency_E&amp;ONW2" xfId="1340"/>
    <cellStyle name="Currency_E&amp;ONW2_02012000_Epe" xfId="1341"/>
    <cellStyle name="Currency_E&amp;OOCPX" xfId="1342"/>
    <cellStyle name="Currency_E&amp;OOCPX_02012000_Epe" xfId="1343"/>
    <cellStyle name="Currency_emserdefault" xfId="1344"/>
    <cellStyle name="Currency_emserdefault_1" xfId="1345"/>
    <cellStyle name="Currency_F&amp;COCPX" xfId="1346"/>
    <cellStyle name="Currency_F&amp;COCPX_02012000_Epe" xfId="1347"/>
    <cellStyle name="Currency_FEBRUARY" xfId="1348"/>
    <cellStyle name="Currency_FEBRUARY_02012000_Epe" xfId="1349"/>
    <cellStyle name="Currency_FF" xfId="1350"/>
    <cellStyle name="Currency_FF_02012000_Epe" xfId="1351"/>
    <cellStyle name="Currency_FP 20 A (1)" xfId="1352"/>
    <cellStyle name="Currency_FP 20 A (1)_02012000_Epe" xfId="1353"/>
    <cellStyle name="Currency_FP 20 A (2)" xfId="1354"/>
    <cellStyle name="Currency_FP 20 A (2)_02012000_Epe" xfId="1355"/>
    <cellStyle name="Currency_FP-20 (App. E)" xfId="1356"/>
    <cellStyle name="Currency_FP-20 (App. E)_02012000_Epe" xfId="1357"/>
    <cellStyle name="Currency_FP-20 (App.A) " xfId="1358"/>
    <cellStyle name="Currency_FP-20 (App.A) _02012000_Epe" xfId="1359"/>
    <cellStyle name="Currency_FP-20 (App.D)" xfId="1360"/>
    <cellStyle name="Currency_FP-20 (App.D)_02012000_Epe" xfId="1361"/>
    <cellStyle name="Currency_FP-20(App.B)" xfId="1362"/>
    <cellStyle name="Currency_FP-20(App.B)_02012000_Epe" xfId="1363"/>
    <cellStyle name="Currency_FP-20(C1) (a)" xfId="1364"/>
    <cellStyle name="Currency_FP-20(C1) (a) (2)" xfId="1365"/>
    <cellStyle name="Currency_FP-20(C1) (a) (2)_02012000_Epe" xfId="1366"/>
    <cellStyle name="Currency_FP-20(C1) (a)_02012000_Epe" xfId="1367"/>
    <cellStyle name="Currency_FP-20(C1) (b)" xfId="1368"/>
    <cellStyle name="Currency_FP-20(C1) (b) " xfId="1369"/>
    <cellStyle name="Currency_FP-20(C1) (b) (2)" xfId="1370"/>
    <cellStyle name="Currency_FP-20(C1) (b) (2)_02012000_Epe" xfId="1371"/>
    <cellStyle name="Currency_FP-20(C1) (b) _02012000_Epe" xfId="1372"/>
    <cellStyle name="Currency_FP-20(C1) (b)_02012000_Epe" xfId="1373"/>
    <cellStyle name="Currency_GCM" xfId="1374"/>
    <cellStyle name="Currency_GCM_02012000_Epe" xfId="1375"/>
    <cellStyle name="Currency_GenAssum" xfId="1376"/>
    <cellStyle name="Currency_GP C1a" xfId="1377"/>
    <cellStyle name="Currency_GP C1a_02012000_Epe" xfId="1378"/>
    <cellStyle name="Currency_GP C1b" xfId="1379"/>
    <cellStyle name="Currency_GP C1b_02012000_Epe" xfId="1380"/>
    <cellStyle name="Currency_GP_EI_3" xfId="1381"/>
    <cellStyle name="Currency_GQ C1A" xfId="1382"/>
    <cellStyle name="Currency_GQ C1A_02012000_Epe" xfId="1383"/>
    <cellStyle name="Currency_GQ C1B" xfId="1384"/>
    <cellStyle name="Currency_GQ C1B_02012000_Epe" xfId="1385"/>
    <cellStyle name="Currency_Inputs" xfId="1386"/>
    <cellStyle name="Currency_IPM C1b" xfId="1387"/>
    <cellStyle name="Currency_IPM C1b_02012000_Epe" xfId="1388"/>
    <cellStyle name="Currency_IPMC1a" xfId="1389"/>
    <cellStyle name="Currency_IPMC1a_02012000_Epe" xfId="1390"/>
    <cellStyle name="Currency_IS-Hold" xfId="1391"/>
    <cellStyle name="Currency_IS-Hold_02012000_Epe" xfId="1392"/>
    <cellStyle name="Currency_ITOCPX" xfId="1393"/>
    <cellStyle name="Currency_ITOCPX_02012000_Epe" xfId="1394"/>
    <cellStyle name="Currency_jancf" xfId="1395"/>
    <cellStyle name="Currency_jancf_02012000_Epe" xfId="1396"/>
    <cellStyle name="Currency_JUNMTH55" xfId="1397"/>
    <cellStyle name="Currency_JUNMTH55_02012000_Epe" xfId="1398"/>
    <cellStyle name="Currency_JUNMTH57" xfId="1399"/>
    <cellStyle name="Currency_JUNMTH57_02012000_Epe" xfId="1400"/>
    <cellStyle name="Currency_JUNYTD55" xfId="1401"/>
    <cellStyle name="Currency_JUNYTD55_02012000_Epe" xfId="1402"/>
    <cellStyle name="Currency_JUNYTD57" xfId="1403"/>
    <cellStyle name="Currency_JUNYTD57_02012000_Epe" xfId="1404"/>
    <cellStyle name="Currency_laroux" xfId="1405"/>
    <cellStyle name="Currency_laroux_02012000_Epe" xfId="1406"/>
    <cellStyle name="Currency_laroux_1" xfId="1407"/>
    <cellStyle name="Currency_laroux_1995" xfId="1408"/>
    <cellStyle name="Currency_laroux_1995_02012000_Epe" xfId="1409"/>
    <cellStyle name="Currency_laroux_1_02012000_Epe" xfId="1410"/>
    <cellStyle name="Currency_laroux_1_dimon" xfId="1411"/>
    <cellStyle name="Currency_laroux_1_dimon_1" xfId="1412"/>
    <cellStyle name="Currency_laroux_1_dimon_1_02012000_Epe" xfId="1413"/>
    <cellStyle name="Currency_laroux_1_dimon_2" xfId="1414"/>
    <cellStyle name="Currency_laroux_1_dimon_2_02012000_Epe" xfId="1415"/>
    <cellStyle name="Currency_laroux_1_dimon_3" xfId="1416"/>
    <cellStyle name="Currency_laroux_1_dimon_3_02012000_Epe" xfId="1417"/>
    <cellStyle name="Currency_laroux_1_laroux" xfId="1418"/>
    <cellStyle name="Currency_laroux_1_laroux_02012000_Epe" xfId="1419"/>
    <cellStyle name="Currency_laroux_1_laroux_1" xfId="1420"/>
    <cellStyle name="Currency_laroux_1_laroux_1_02012000_Epe" xfId="1421"/>
    <cellStyle name="Currency_laroux_1_laroux_dimon" xfId="1422"/>
    <cellStyle name="Currency_laroux_1_laroux_dimon_02012000_Epe" xfId="1423"/>
    <cellStyle name="Currency_laroux_1_Locas" xfId="1424"/>
    <cellStyle name="Currency_laroux_1_Locas_02012000_Epe" xfId="1425"/>
    <cellStyle name="Currency_laroux_1_pldt" xfId="1426"/>
    <cellStyle name="Currency_laroux_1_pldt_02012000_Epe" xfId="1427"/>
    <cellStyle name="Currency_laroux_1_PLDT_dimon" xfId="1428"/>
    <cellStyle name="Currency_laroux_1_PLDT_dimon_02012000_Epe" xfId="1429"/>
    <cellStyle name="Currency_laroux_1_VERA" xfId="1430"/>
    <cellStyle name="Currency_laroux_1_VERA_02012000_Epe" xfId="1431"/>
    <cellStyle name="Currency_laroux_1_VERA_1" xfId="1432"/>
    <cellStyle name="Currency_laroux_1_VERA_1_02012000_Epe" xfId="1433"/>
    <cellStyle name="Currency_laroux_1_VIRUS-EDY" xfId="1434"/>
    <cellStyle name="Currency_laroux_1_VIRUS-EDY_02012000_Epe" xfId="1435"/>
    <cellStyle name="Currency_laroux_2" xfId="1436"/>
    <cellStyle name="Currency_laroux_2_02012000_Epe" xfId="1437"/>
    <cellStyle name="Currency_laroux_2_dimon" xfId="1438"/>
    <cellStyle name="Currency_laroux_2_dimon_02012000_Epe" xfId="1439"/>
    <cellStyle name="Currency_laroux_2_dimon_1" xfId="1440"/>
    <cellStyle name="Currency_laroux_2_dimon_1_02012000_Epe" xfId="1441"/>
    <cellStyle name="Currency_laroux_2_dimon_2" xfId="1442"/>
    <cellStyle name="Currency_laroux_2_dimon_2_02012000_Epe" xfId="1443"/>
    <cellStyle name="Currency_laroux_2_dimon_3" xfId="1444"/>
    <cellStyle name="Currency_laroux_2_dimon_3_02012000_Epe" xfId="1445"/>
    <cellStyle name="Currency_laroux_2_laroux" xfId="1446"/>
    <cellStyle name="Currency_laroux_2_laroux_02012000_Epe" xfId="1447"/>
    <cellStyle name="Currency_laroux_2_laroux_dimon" xfId="1448"/>
    <cellStyle name="Currency_laroux_2_laroux_dimon_02012000_Epe" xfId="1449"/>
    <cellStyle name="Currency_laroux_2_Locas" xfId="1450"/>
    <cellStyle name="Currency_laroux_2_Locas_02012000_Epe" xfId="1451"/>
    <cellStyle name="Currency_laroux_2_pldt" xfId="1452"/>
    <cellStyle name="Currency_laroux_2_pldt_02012000_Epe" xfId="1453"/>
    <cellStyle name="Currency_laroux_2_PLDT_dimon" xfId="1454"/>
    <cellStyle name="Currency_laroux_2_PLDT_dimon_02012000_Epe" xfId="1455"/>
    <cellStyle name="Currency_laroux_2_VIRUS-EDY" xfId="1456"/>
    <cellStyle name="Currency_laroux_2_VIRUS-EDY_02012000_Epe" xfId="1457"/>
    <cellStyle name="Currency_laroux_3" xfId="1458"/>
    <cellStyle name="Currency_laroux_3_02012000_Epe" xfId="1459"/>
    <cellStyle name="Currency_laroux_3_dimon" xfId="1460"/>
    <cellStyle name="Currency_laroux_3_dimon_1" xfId="1461"/>
    <cellStyle name="Currency_laroux_3_dimon_1_02012000_Epe" xfId="1462"/>
    <cellStyle name="Currency_laroux_3_dimon_2" xfId="1463"/>
    <cellStyle name="Currency_laroux_3_dimon_2_02012000_Epe" xfId="1464"/>
    <cellStyle name="Currency_laroux_3_dimon_3" xfId="1465"/>
    <cellStyle name="Currency_laroux_3_dimon_3_02012000_Epe" xfId="1466"/>
    <cellStyle name="Currency_laroux_4" xfId="1467"/>
    <cellStyle name="Currency_laroux_4_02012000_Epe" xfId="1468"/>
    <cellStyle name="Currency_laroux_4_dimon" xfId="1469"/>
    <cellStyle name="Currency_laroux_4_dimon_02012000_Epe" xfId="1470"/>
    <cellStyle name="Currency_laroux_4_dimon_1" xfId="1471"/>
    <cellStyle name="Currency_laroux_4_dimon_1_02012000_Epe" xfId="1472"/>
    <cellStyle name="Currency_laroux_5" xfId="1473"/>
    <cellStyle name="Currency_laroux_5_02012000_Epe" xfId="1474"/>
    <cellStyle name="Currency_laroux_6" xfId="1475"/>
    <cellStyle name="Currency_laroux_7" xfId="1476"/>
    <cellStyle name="Currency_laroux_7_02012000_Epe" xfId="1477"/>
    <cellStyle name="Currency_laroux_8" xfId="1478"/>
    <cellStyle name="Currency_laroux_8_02012000_Epe" xfId="1479"/>
    <cellStyle name="Currency_laroux_dimon" xfId="1480"/>
    <cellStyle name="Currency_laroux_dimon_1" xfId="1481"/>
    <cellStyle name="Currency_laroux_dimon_1_02012000_Epe" xfId="1482"/>
    <cellStyle name="Currency_laroux_dimon_2" xfId="1483"/>
    <cellStyle name="Currency_laroux_dimon_2_02012000_Epe" xfId="1484"/>
    <cellStyle name="Currency_laroux_dimon_3" xfId="1485"/>
    <cellStyle name="Currency_laroux_dimon_3_02012000_Epe" xfId="1486"/>
    <cellStyle name="Currency_laroux_laroux" xfId="1487"/>
    <cellStyle name="Currency_laroux_laroux_02012000_Epe" xfId="1488"/>
    <cellStyle name="Currency_laroux_laroux_1" xfId="1489"/>
    <cellStyle name="Currency_laroux_laroux_1_02012000_Epe" xfId="1490"/>
    <cellStyle name="Currency_laroux_laroux_1_dimon" xfId="1491"/>
    <cellStyle name="Currency_laroux_laroux_1_dimon_02012000_Epe" xfId="1492"/>
    <cellStyle name="Currency_laroux_laroux_dimon" xfId="1493"/>
    <cellStyle name="Currency_laroux_laroux_dimon_02012000_Epe" xfId="1494"/>
    <cellStyle name="Currency_laroux_Locas" xfId="1495"/>
    <cellStyle name="Currency_laroux_Locas_02012000_Epe" xfId="1496"/>
    <cellStyle name="Currency_laroux_pldt" xfId="1497"/>
    <cellStyle name="Currency_laroux_pldt_02012000_Epe" xfId="1498"/>
    <cellStyle name="Currency_laroux_pldt_1" xfId="1499"/>
    <cellStyle name="Currency_laroux_pldt_1_02012000_Epe" xfId="1500"/>
    <cellStyle name="Currency_laroux_VERA" xfId="1501"/>
    <cellStyle name="Currency_laroux_VERA_02012000_Epe" xfId="1502"/>
    <cellStyle name="Currency_laroux_VERA_1" xfId="1503"/>
    <cellStyle name="Currency_laroux_VERA_1_02012000_Epe" xfId="1504"/>
    <cellStyle name="Currency_laroux_VIRUS-EDY" xfId="1505"/>
    <cellStyle name="Currency_laroux_VIRUS-EDY_02012000_Epe" xfId="1506"/>
    <cellStyle name="Currency_List" xfId="1507"/>
    <cellStyle name="Currency_List_02012000_Epe" xfId="1508"/>
    <cellStyle name="Currency_MATERAL2" xfId="1509"/>
    <cellStyle name="Currency_MATERAL2_02012000_Epe" xfId="1510"/>
    <cellStyle name="Currency_MATERAL2_dimon" xfId="1511"/>
    <cellStyle name="Currency_MATERAL2_dimon_02012000_Epe" xfId="1512"/>
    <cellStyle name="Currency_MATERAL2_dimon_1" xfId="1513"/>
    <cellStyle name="Currency_MATERAL2_dimon_1_02012000_Epe" xfId="1514"/>
    <cellStyle name="Currency_may98dcr" xfId="1515"/>
    <cellStyle name="Currency_MKGOCPX" xfId="1516"/>
    <cellStyle name="Currency_MKGOCPX_02012000_Epe" xfId="1517"/>
    <cellStyle name="Currency_MOBCPX" xfId="1518"/>
    <cellStyle name="Currency_MOBCPX_02012000_Epe" xfId="1519"/>
    <cellStyle name="Currency_mud plant bolted" xfId="1520"/>
    <cellStyle name="Currency_mud plant bolted_02012000_Epe" xfId="1521"/>
    <cellStyle name="Currency_mud plant bolted_dimon" xfId="1522"/>
    <cellStyle name="Currency_mud plant bolted_dimon_1" xfId="1523"/>
    <cellStyle name="Currency_mud plant bolted_dimon_1_02012000_Epe" xfId="1524"/>
    <cellStyle name="Currency_mud plant bolted_PLDT" xfId="1525"/>
    <cellStyle name="Currency_mud plant bolted_PLDT_02012000_Epe" xfId="1526"/>
    <cellStyle name="Currency_mud plant bolted_VERA" xfId="1527"/>
    <cellStyle name="Currency_mud plant bolted_VERA_02012000_Epe" xfId="1528"/>
    <cellStyle name="Currency_mud plant bolted_VERA_1" xfId="1529"/>
    <cellStyle name="Currency_mud plant bolted_VERA_1_02012000_Epe" xfId="1530"/>
    <cellStyle name="Currency_NA WITHOUT GOV'T &amp; PNX" xfId="1531"/>
    <cellStyle name="Currency_NA WITHOUT GOV'T &amp; PNX_02012000_Epe" xfId="1532"/>
    <cellStyle name="Currency_NAOBU10" xfId="1533"/>
    <cellStyle name="Currency_NAOBU10_02012000_Epe" xfId="1534"/>
    <cellStyle name="Currency_NAT ACCT" xfId="1535"/>
    <cellStyle name="Currency_NAT ACCT_02012000_Epe" xfId="1536"/>
    <cellStyle name="Currency_NSACTUAL.XLS" xfId="1537"/>
    <cellStyle name="Currency_NSACTUAL.XLS_02012000_Epe" xfId="1538"/>
    <cellStyle name="Currency_NX00" xfId="1539"/>
    <cellStyle name="Currency_NX00_02012000_Epe" xfId="1540"/>
    <cellStyle name="Currency_Odner" xfId="1541"/>
    <cellStyle name="Currency_Odner (2)" xfId="1542"/>
    <cellStyle name="Currency_Odner (3)" xfId="1543"/>
    <cellStyle name="Currency_OSMOCPX" xfId="1544"/>
    <cellStyle name="Currency_OSMOCPX_02012000_Epe" xfId="1545"/>
    <cellStyle name="Currency_Other Months" xfId="1546"/>
    <cellStyle name="Currency_Other Months_02012000_Epe" xfId="1547"/>
    <cellStyle name="Currency_Outlook" xfId="1548"/>
    <cellStyle name="Currency_Outlook_02012000_Epe" xfId="1549"/>
    <cellStyle name="Currency_pbdefault" xfId="1550"/>
    <cellStyle name="Currency_pbdefault_1" xfId="1551"/>
    <cellStyle name="Currency_percentages" xfId="1552"/>
    <cellStyle name="Currency_percentages_02012000_Epe" xfId="1553"/>
    <cellStyle name="Currency_PERSONAL" xfId="1554"/>
    <cellStyle name="Currency_PERSONAL_02012000_Epe" xfId="1555"/>
    <cellStyle name="Currency_PGMKOCPX" xfId="0"/>
    <cellStyle name="Currency_PGMKOCPX_02012000_Epe" xfId="0"/>
    <cellStyle name="Currency_PGNW1" xfId="0"/>
    <cellStyle name="Currency_PGNW1_02012000_Epe" xfId="0"/>
    <cellStyle name="Currency_PGNW2" xfId="0"/>
    <cellStyle name="Currency_PGNW2_02012000_Epe" xfId="0"/>
    <cellStyle name="Currency_PGNWOCPX" xfId="0"/>
    <cellStyle name="Currency_PGNWOCPX_02012000_Epe" xfId="0"/>
    <cellStyle name="Currency_Pink" xfId="0"/>
    <cellStyle name="Currency_Pink_02012000_Epe" xfId="0"/>
    <cellStyle name="Currency_Plan" xfId="0"/>
    <cellStyle name="Currency_PLANT" xfId="0"/>
    <cellStyle name="Currency_PLANT_02012000_Epe" xfId="0"/>
    <cellStyle name="Currency_PLDT" xfId="0"/>
    <cellStyle name="Currency_PLDT_02012000_Epe" xfId="0"/>
    <cellStyle name="Currency_pldt_1" xfId="0"/>
    <cellStyle name="Currency_pldt_1_02012000_Epe" xfId="0"/>
    <cellStyle name="Currency_PLDT_1_dimon" xfId="0"/>
    <cellStyle name="Currency_PLDT_1_dimon_02012000_Epe" xfId="0"/>
    <cellStyle name="Currency_pldt_1_dimon_1" xfId="0"/>
    <cellStyle name="Currency_pldt_1_dimon_1_02012000_Epe" xfId="0"/>
    <cellStyle name="Currency_pldt_2" xfId="0"/>
    <cellStyle name="Currency_pldt_2_02012000_Epe" xfId="0"/>
    <cellStyle name="Currency_pldt_Calculations" xfId="0"/>
    <cellStyle name="Currency_pldt_Calculations_02012000_Epe" xfId="0"/>
    <cellStyle name="Currency_PLDT_dimon" xfId="0"/>
    <cellStyle name="Currency_PLDT_dimon_02012000_Epe" xfId="0"/>
    <cellStyle name="Currency_pldt_dimon_1" xfId="0"/>
    <cellStyle name="Currency_pldt_dimon_1_02012000_Epe" xfId="0"/>
    <cellStyle name="Currency_priccurv" xfId="0"/>
    <cellStyle name="Currency_PROCDS&amp;G" xfId="0"/>
    <cellStyle name="Currency_PROCDS&amp;G_02012000_Epe" xfId="0"/>
    <cellStyle name="Currency_PROFILE4" xfId="0"/>
    <cellStyle name="Currency_Projects" xfId="0"/>
    <cellStyle name="Currency_Quarter End Months" xfId="0"/>
    <cellStyle name="Currency_Quarter End Months_02012000_Epe" xfId="0"/>
    <cellStyle name="Currency_r1" xfId="0"/>
    <cellStyle name="Currency_RFI" xfId="0"/>
    <cellStyle name="Currency_RFI_02012000_Epe" xfId="0"/>
    <cellStyle name="Currency_RFI_1" xfId="0"/>
    <cellStyle name="Currency_Sales Order" xfId="0"/>
    <cellStyle name="Currency_Sales Order_02012000_Epe" xfId="0"/>
    <cellStyle name="Currency_SATOCPX" xfId="0"/>
    <cellStyle name="Currency_SATOCPX_02012000_Epe" xfId="0"/>
    <cellStyle name="Currency_Sheet1" xfId="0"/>
    <cellStyle name="Currency_Sheet1 (2)" xfId="0"/>
    <cellStyle name="Currency_Sheet1 (2)_02012000_Epe" xfId="0"/>
    <cellStyle name="Currency_Sheet1_02012000_Epe" xfId="0"/>
    <cellStyle name="Currency_Sheet1_dimon" xfId="0"/>
    <cellStyle name="Currency_Sheet1_dimon_02012000_Epe" xfId="0"/>
    <cellStyle name="Currency_SHENREPT" xfId="0"/>
    <cellStyle name="Currency_SHENREPT_02012000_Epe" xfId="0"/>
    <cellStyle name="Currency_Snr. CO" xfId="0"/>
    <cellStyle name="Currency_sprint contr" xfId="0"/>
    <cellStyle name="Currency_sprint contr_02012000_Epe" xfId="0"/>
    <cellStyle name="Currency_Subcont File" xfId="0"/>
    <cellStyle name="Currency_Summary Info" xfId="0"/>
    <cellStyle name="Currency_SUMPAGE" xfId="0"/>
    <cellStyle name="Currency_SUMPAGE_02012000_Epe" xfId="0"/>
    <cellStyle name="Currency_TMSNW1" xfId="0"/>
    <cellStyle name="Currency_TMSNW1_02012000_Epe" xfId="0"/>
    <cellStyle name="Currency_TMSNW2" xfId="0"/>
    <cellStyle name="Currency_TMSNW2_02012000_Epe" xfId="0"/>
    <cellStyle name="Currency_TMSOCPX" xfId="0"/>
    <cellStyle name="Currency_TMSOCPX_02012000_Epe" xfId="0"/>
    <cellStyle name="Currency_TOTAL MTH" xfId="0"/>
    <cellStyle name="Currency_TOTAL MTH_02012000_Epe" xfId="0"/>
    <cellStyle name="Currency_TOTAL YTD" xfId="0"/>
    <cellStyle name="Currency_TOTAL YTD_02012000_Epe" xfId="0"/>
    <cellStyle name="Currency_TRANSDSC.XLS" xfId="0"/>
    <cellStyle name="Currency_TRANSDSC.XLS_02012000_Epe" xfId="0"/>
    <cellStyle name="Currency_TRANSFXA.XLS" xfId="0"/>
    <cellStyle name="Currency_TRANSFXA.XLS_02012000_Epe" xfId="0"/>
    <cellStyle name="Currency_TRANSFXA.XLS_1" xfId="0"/>
    <cellStyle name="Currency_TRANSFXA.XLS_1_02012000_Epe" xfId="0"/>
    <cellStyle name="Currency_TRANSIME.XLS" xfId="0"/>
    <cellStyle name="Currency_TRANSIME.XLS_02012000_Epe" xfId="0"/>
    <cellStyle name="Currency_TRANSIME.XLS_TRANSDSC.XLS" xfId="0"/>
    <cellStyle name="Currency_TRANSIME.XLS_TRANSDSC.XLS_02012000_Epe" xfId="0"/>
    <cellStyle name="Currency_TRANSIME.XLS_TRANSFXA.XLS" xfId="0"/>
    <cellStyle name="Currency_TRANSIME.XLS_TRANSFXA.XLS_02012000_Epe" xfId="0"/>
    <cellStyle name="Currency_VERA" xfId="0"/>
    <cellStyle name="Currency_VERA_02012000_Epe" xfId="0"/>
    <cellStyle name="Currency_VIRUS-EDY" xfId="0"/>
    <cellStyle name="Currency_VIRUS-EDY_02012000_Epe" xfId="0"/>
    <cellStyle name="Currency_VIRUS-EDY_1" xfId="0"/>
    <cellStyle name="Currency_VIRUS-EDY_1_02012000_Epe" xfId="0"/>
    <cellStyle name="Currency_White" xfId="0"/>
    <cellStyle name="Currency_White_02012000_Epe" xfId="0"/>
    <cellStyle name="Currency_WO Var. &amp; Tot. Exp." xfId="0"/>
    <cellStyle name="Currency_WO Var. &amp; Tot. Exp._02012000_Epe" xfId="0"/>
    <cellStyle name="Currency_WSP" xfId="0"/>
    <cellStyle name="Currency_WSP_02012000_Epe" xfId="0"/>
    <cellStyle name="Currency_yrcao" xfId="0"/>
    <cellStyle name="Currency_yrcao_02012000_Epe" xfId="0"/>
    <cellStyle name="Currency_YREND55" xfId="0"/>
    <cellStyle name="Currency_YREND55_02012000_Epe" xfId="0"/>
    <cellStyle name="Currency_YREND57" xfId="0"/>
    <cellStyle name="Currency_YREND57_02012000_Epe" xfId="0"/>
    <cellStyle name="Currency_YTDCUR" xfId="0"/>
    <cellStyle name="Currency_YTDCUR_02012000_Epe" xfId="0"/>
    <cellStyle name="Date" xfId="0"/>
    <cellStyle name="Fixed" xfId="0"/>
    <cellStyle name="Fixed_02012000_Epe" xfId="0"/>
    <cellStyle name="Grey" xfId="0"/>
    <cellStyle name="HEADER" xfId="0"/>
    <cellStyle name="Heading 1" xfId="0"/>
    <cellStyle name="Heading1_02012000_Epe" xfId="0"/>
    <cellStyle name="Heading2" xfId="0"/>
    <cellStyle name="Heading2_02012000_Epe" xfId="0"/>
    <cellStyle name="HIGHLIGHT" xfId="0"/>
    <cellStyle name="Input [yellow]" xfId="0"/>
    <cellStyle name="no dec" xfId="0"/>
    <cellStyle name="Normal - Style1" xfId="0"/>
    <cellStyle name="Normal - Style1_02012000_Epe" xfId="0"/>
    <cellStyle name="Normal - Style1_dimon" xfId="0"/>
    <cellStyle name="Normal - Style1_dimon_02012000_Epe" xfId="0"/>
    <cellStyle name="Normal_02012000_Epe" xfId="0"/>
    <cellStyle name="Normal_022299" xfId="0"/>
    <cellStyle name="Normal_03_06_98 list _ecm deals 030998 excel95" xfId="0"/>
    <cellStyle name="Normal_0818_BRpipe" xfId="0"/>
    <cellStyle name="Normal_0914_BRpwr" xfId="0"/>
    <cellStyle name="Normal_0915_BRpwr" xfId="0"/>
    <cellStyle name="Normal_0915_Curves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990114_Tbs" xfId="0"/>
    <cellStyle name="Normal_A" xfId="0"/>
    <cellStyle name="Normal_A (2)" xfId="0"/>
    <cellStyle name="Normal_A (2)_02012000_Epe" xfId="0"/>
    <cellStyle name="Normal_A_02012000_Epe" xfId="0"/>
    <cellStyle name="Normal_A_dimon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IGOUT" xfId="0"/>
    <cellStyle name="Normal_Book3" xfId="0"/>
    <cellStyle name="Normal_BOP" xfId="0"/>
    <cellStyle name="Normal_BOPBAL1" xfId="0"/>
    <cellStyle name="Normal_BOPBAL1_02012000_Epe" xfId="0"/>
    <cellStyle name="Normal_BOPCBU" xfId="0"/>
    <cellStyle name="Normal_BOPCBU (2)" xfId="0"/>
    <cellStyle name="Normal_BOPCBU (2)_02012000_Epe" xfId="0"/>
    <cellStyle name="Normal_BOPCBU96" xfId="0"/>
    <cellStyle name="Normal_BOPCBU96_02012000_Epe" xfId="0"/>
    <cellStyle name="Normal_BOPCBU_02012000_Epe" xfId="0"/>
    <cellStyle name="Normal_BREPAIR" xfId="0"/>
    <cellStyle name="Normal_BREPAIR_02012000_Epe" xfId="0"/>
    <cellStyle name="Normal_BSAPPE.XLS" xfId="0"/>
    <cellStyle name="Normal_BSAPPE.XLS_02012000_Epe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02012000_Epe" xfId="0"/>
    <cellStyle name="Normal_CAPEX94" xfId="0"/>
    <cellStyle name="Normal_CAPEX94_02012000_Epe" xfId="0"/>
    <cellStyle name="Normal_CAPEX_dimon" xfId="0"/>
    <cellStyle name="Normal_CAPEX_dimon_02012000_Epe" xfId="0"/>
    <cellStyle name="Normal_CAPEX_VERA" xfId="0"/>
    <cellStyle name="Normal_CAPEXPWI.XLS" xfId="0"/>
    <cellStyle name="Normal_CAPEXPWI.XLS_02012000_Epe" xfId="0"/>
    <cellStyle name="Normal_CAPEXPWO.XLS" xfId="0"/>
    <cellStyle name="Normal_CAPEXPWO.XLS_02012000_Epe" xfId="0"/>
    <cellStyle name="Normal_Cardig GHS" xfId="0"/>
    <cellStyle name="Normal_Cash Flows" xfId="0"/>
    <cellStyle name="Normal_CBU BOX CHART V PLAN" xfId="0"/>
    <cellStyle name="Normal_CBU BOX CHART V PLAN_02012000_Epe" xfId="0"/>
    <cellStyle name="Normal_CBU BOX CHART V PLAN_1" xfId="0"/>
    <cellStyle name="Normal_CCOCPX" xfId="0"/>
    <cellStyle name="Normal_CEL-C-CO.XLS" xfId="0"/>
    <cellStyle name="Normal_CEL-C-CO.XLS_02012000_Epe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ANGES.XLS_1_02012000_Epe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dimon" xfId="0"/>
    <cellStyle name="Normal_COMOTH" xfId="0"/>
    <cellStyle name="Normal_coperdefault" xfId="0"/>
    <cellStyle name="Normal_coperdefault_1" xfId="0"/>
    <cellStyle name="Normal_Corp method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MPLTCH_02012000_Epe" xfId="0"/>
    <cellStyle name="Normal_CurrencySKorea" xfId="0"/>
    <cellStyle name="Normal_Curve Sheet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2" xfId="0"/>
    <cellStyle name="Normal_dimon_3" xfId="0"/>
    <cellStyle name="Normal_dimon_4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mserdefault" xfId="0"/>
    <cellStyle name="Normal_emserdefault_1" xfId="0"/>
    <cellStyle name="Normal_EPS" xfId="0"/>
    <cellStyle name="Normal_EQCON" xfId="0"/>
    <cellStyle name="Normal_EQCON_02012000_Epe" xfId="0"/>
    <cellStyle name="Normal_export 61898" xfId="0"/>
    <cellStyle name="Normal_export deals 050898" xfId="0"/>
    <cellStyle name="Normal_F&amp;COCPX" xfId="0"/>
    <cellStyle name="Normal_FEBRUARY" xfId="0"/>
    <cellStyle name="Normal_FEBRUARY_02012000_Epe" xfId="0"/>
    <cellStyle name="Normal_FF" xfId="0"/>
    <cellStyle name="Normal_FF_02012000_Epe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GCM" xfId="0"/>
    <cellStyle name="Normal_GE03" xfId="0"/>
    <cellStyle name="Normal_GE04" xfId="0"/>
    <cellStyle name="Normal_GenAssum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02012000_Ep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ancf_02012000_Epe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02012000_Epe" xfId="0"/>
    <cellStyle name="Normal_laroux_1_dimon" xfId="0"/>
    <cellStyle name="Normal_laroux_1_dimon_1" xfId="0"/>
    <cellStyle name="Normal_laroux_1_dimon_2" xfId="0"/>
    <cellStyle name="Normal_laroux_1_dimon_2_02012000_Epe" xfId="0"/>
    <cellStyle name="Normal_laroux_1_laroux" xfId="0"/>
    <cellStyle name="Normal_laroux_1_laroux_1" xfId="0"/>
    <cellStyle name="Normal_laroux_1_laroux_1_02012000_Ep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2_02012000_Epe" xfId="0"/>
    <cellStyle name="Normal_laroux_2_dimon_3" xfId="0"/>
    <cellStyle name="Normal_laroux_2_laroux" xfId="0"/>
    <cellStyle name="Normal_laroux_2_laroux_02012000_Epe" xfId="0"/>
    <cellStyle name="Normal_laroux_2_laroux_1" xfId="0"/>
    <cellStyle name="Normal_laroux_2_laroux_2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2" xfId="0"/>
    <cellStyle name="Normal_laroux_3_dimon_2_02012000_Epe" xfId="0"/>
    <cellStyle name="Normal_laroux_3_dimon_3" xfId="0"/>
    <cellStyle name="Normal_laroux_3_dimon_4" xfId="0"/>
    <cellStyle name="Normal_laroux_3_laroux" xfId="0"/>
    <cellStyle name="Normal_laroux_3_laroux_1" xfId="0"/>
    <cellStyle name="Normal_laroux_3_laroux_2" xfId="0"/>
    <cellStyle name="Normal_laroux_3_laroux_2_02012000_Ep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02012000_Epe" xfId="0"/>
    <cellStyle name="Normal_laroux_3_VERA_1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dimon_3_02012000_Epe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2" xfId="0"/>
    <cellStyle name="Normal_laroux_5_dimon_2_02012000_Epe" xfId="0"/>
    <cellStyle name="Normal_laroux_5_dimon_3" xfId="0"/>
    <cellStyle name="Normal_laroux_5_laroux" xfId="0"/>
    <cellStyle name="Normal_laroux_5_laroux_1" xfId="0"/>
    <cellStyle name="Normal_laroux_5_laroux_1_02012000_Ep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02012000_Epe" xfId="0"/>
    <cellStyle name="Normal_laroux_6_dimon_2" xfId="0"/>
    <cellStyle name="Normal_laroux_6_dimon_3" xfId="0"/>
    <cellStyle name="Normal_laroux_6_laroux" xfId="0"/>
    <cellStyle name="Normal_laroux_6_laroux_1" xfId="0"/>
    <cellStyle name="Normal_laroux_6_laroux_dimon" xfId="0"/>
    <cellStyle name="Normal_laroux_6_laroux_dimon_02012000_Ep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02012000_Epe" xfId="0"/>
    <cellStyle name="Normal_laroux_7" xfId="0"/>
    <cellStyle name="Normal_laroux_7_dimon" xfId="0"/>
    <cellStyle name="Normal_laroux_7_dimon_1" xfId="0"/>
    <cellStyle name="Normal_laroux_7_dimon_2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A" xfId="0"/>
    <cellStyle name="Normal_laroux_B" xfId="0"/>
    <cellStyle name="Normal_laroux_C" xfId="0"/>
    <cellStyle name="Normal_laroux_D" xfId="0"/>
    <cellStyle name="Normal_laroux_D_02012000_Epe" xfId="0"/>
    <cellStyle name="Normal_laroux_dimon" xfId="0"/>
    <cellStyle name="Normal_laroux_dimon_1" xfId="0"/>
    <cellStyle name="Normal_laroux_dimon_1_02012000_Epe" xfId="0"/>
    <cellStyle name="Normal_laroux_dimon_2" xfId="0"/>
    <cellStyle name="Normal_laroux_dimon_3" xfId="0"/>
    <cellStyle name="Normal_laroux_dimon_4" xfId="0"/>
    <cellStyle name="Normal_laroux_dimon_5" xfId="0"/>
    <cellStyle name="Normal_laroux_dimon_5_02012000_Ep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02012000_Epe" xfId="0"/>
    <cellStyle name="Normal_laroux_pldt_1" xfId="0"/>
    <cellStyle name="Normal_laroux_pldt_2" xfId="0"/>
    <cellStyle name="Normal_laroux_pldt_3" xfId="0"/>
    <cellStyle name="Normal_laroux_pldt_3_02012000_Epe" xfId="0"/>
    <cellStyle name="Normal_laroux_PLDT_dimon" xfId="0"/>
    <cellStyle name="Normal_laroux_PLDT_dimon_02012000_Epe" xfId="0"/>
    <cellStyle name="Normal_laroux_VERA" xfId="0"/>
    <cellStyle name="Normal_laroux_VERA_1" xfId="0"/>
    <cellStyle name="Normal_laroux_VIRUS-EDY" xfId="0"/>
    <cellStyle name="Normal_Line Inst." xfId="0"/>
    <cellStyle name="Normal_List" xfId="0"/>
    <cellStyle name="Normal_List_02012000_Epe" xfId="0"/>
    <cellStyle name="Normal_Locas" xfId="0"/>
    <cellStyle name="Normal_Locas_1" xfId="0"/>
    <cellStyle name="Normal_MAJREP" xfId="0"/>
    <cellStyle name="Normal_MAJREP_02012000_Epe" xfId="0"/>
    <cellStyle name="Normal_MATERAL2" xfId="0"/>
    <cellStyle name="Normal_MATERAL2_dimon" xfId="0"/>
    <cellStyle name="Normal_may98dcr" xfId="0"/>
    <cellStyle name="Normal_MED-A-CO.XLS" xfId="0"/>
    <cellStyle name="Normal_MED-A-CO.XLS_02012000_Epe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HQ-ACT.XLS_02012000_Epe" xfId="0"/>
    <cellStyle name="Normal_NS-A-CO.XLS" xfId="0"/>
    <cellStyle name="Normal_NS-A-CO.XLS_02012000_Epe" xfId="0"/>
    <cellStyle name="Normal_NS_AT" xfId="0"/>
    <cellStyle name="Normal_NS_CONS GROUP" xfId="0"/>
    <cellStyle name="Normal_NSACTUAL.XLS" xfId="0"/>
    <cellStyle name="Normal_NSACTUAL.XLS_1" xfId="0"/>
    <cellStyle name="Normal_NSACTUAL.XLS_1_02012000_Epe" xfId="0"/>
    <cellStyle name="Normal_NX00" xfId="0"/>
    <cellStyle name="Normal_Op Cost Break" xfId="0"/>
    <cellStyle name="Normal_OPSTAT" xfId="0"/>
    <cellStyle name="Normal_OS-A-CO.XLS" xfId="0"/>
    <cellStyle name="Normal_OS-A-CO.XLS_02012000_Epe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02012000_Epe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3_dimon_02012000_Epe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6_02012000_Epe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curv_2_02012000_Epe" xfId="0"/>
    <cellStyle name="Normal_PrintBox (2)" xfId="0"/>
    <cellStyle name="Normal_PROCDS&amp;G" xfId="0"/>
    <cellStyle name="Normal_PROCDS&amp;G_02012000_Epe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Payment model_02012000_Epe" xfId="0"/>
    <cellStyle name="Normal_production tony" xfId="0"/>
    <cellStyle name="Normal_PROFILE4" xfId="0"/>
    <cellStyle name="Normal_PSTNOCFP" xfId="0"/>
    <cellStyle name="Normal_Q08-95.XLS" xfId="0"/>
    <cellStyle name="Normal_Q08-95.XLS_02012000_Epe" xfId="0"/>
    <cellStyle name="Normal_QMM-1" xfId="0"/>
    <cellStyle name="Normal_QMM-1_02012000_Ep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TOCPX" xfId="0"/>
    <cellStyle name="Normal_SC COP" xfId="0"/>
    <cellStyle name="Normal_SC COP_02012000_Epe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02012000_Epe" xfId="0"/>
    <cellStyle name="Normal_sprint contr" xfId="0"/>
    <cellStyle name="Normal_Staff cost%rev" xfId="0"/>
    <cellStyle name="Normal_Summary" xfId="0"/>
    <cellStyle name="Normal_SUMPAGE" xfId="0"/>
    <cellStyle name="Normal_SWI-C-CO.XLS" xfId="0"/>
    <cellStyle name="Normal_SWI-C-CO.XLS_02012000_Epe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02012000_Epe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TRN-A-CO.XLS_02012000_Epe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~0001633" xfId="0"/>
    <cellStyle name="Percent [2]" xfId="0"/>
    <cellStyle name="Total" xfId="0"/>
    <cellStyle name="Total_02012000_Epe" xfId="0"/>
    <cellStyle name="Unprot" xfId="0"/>
    <cellStyle name="Unprot$" xfId="0"/>
    <cellStyle name="Unprot_CurrencySKorea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.xml"/><Relationship Id="rId3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4.xml"/><Relationship Id="rId32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533520</xdr:colOff>
          <xdr:row>2</xdr:row>
          <xdr:rowOff>47880</xdr:rowOff>
        </xdr:from>
        <xdr:to>
          <xdr:col>2</xdr:col>
          <xdr:colOff>715320</xdr:colOff>
          <xdr:row>4</xdr:row>
          <xdr:rowOff>76320</xdr:rowOff>
        </xdr:to>
        <xdr:sp>
          <xdr:nvSpPr>
            <xdr:cNvPr id="1001" name="Button 1" descr="Converge&#10;Mod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Converge
Model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362520</xdr:colOff>
          <xdr:row>2</xdr:row>
          <xdr:rowOff>38520</xdr:rowOff>
        </xdr:from>
        <xdr:to>
          <xdr:col>5</xdr:col>
          <xdr:colOff>644400</xdr:colOff>
          <xdr:row>4</xdr:row>
          <xdr:rowOff>66960</xdr:rowOff>
        </xdr:to>
        <xdr:sp>
          <xdr:nvSpPr>
            <xdr:cNvPr id="1002" name="Button 2" descr="Print Entire&#10;Mod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Entire
Model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29880</xdr:colOff>
          <xdr:row>2</xdr:row>
          <xdr:rowOff>57240</xdr:rowOff>
        </xdr:from>
        <xdr:to>
          <xdr:col>4</xdr:col>
          <xdr:colOff>222480</xdr:colOff>
          <xdr:row>4</xdr:row>
          <xdr:rowOff>66960</xdr:rowOff>
        </xdr:to>
        <xdr:sp>
          <xdr:nvSpPr>
            <xdr:cNvPr id="1003" name="Button 122" descr="Converge&#10;Commitmen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Converge
Commitment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774720</xdr:colOff>
          <xdr:row>2</xdr:row>
          <xdr:rowOff>38520</xdr:rowOff>
        </xdr:from>
        <xdr:to>
          <xdr:col>7</xdr:col>
          <xdr:colOff>795960</xdr:colOff>
          <xdr:row>4</xdr:row>
          <xdr:rowOff>56880</xdr:rowOff>
        </xdr:to>
        <xdr:sp>
          <xdr:nvSpPr>
            <xdr:cNvPr id="1004" name="Button 123" descr="Print Appendix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Appendix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ASH_EPE_0400MyCopy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M/RAAP/$LIBRARY/SOUTHERN%20CONE%20Deals/Cuiaba_Cemat%20Pwr/Reval_0400/F%20M%20V/CASH_Cons_040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M/RAAP/$LIBRARY/SOUTHERN%20CONE%20Deals/Cuiaba_Cemat%20Pwr/Reval_0400/F%20M%20V/CASH_Curves_04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CASH_TBS_0400MyCop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Assm"/>
      <sheetName val="RAROC"/>
      <sheetName val="Tariff"/>
      <sheetName val="Rev_Exp"/>
      <sheetName val="CF"/>
      <sheetName val="Project &amp; Investor Returns"/>
      <sheetName val="Enron Returns"/>
      <sheetName val="Shell &amp; Trans Returns"/>
      <sheetName val="100% Partner Cash Flow"/>
      <sheetName val="EINC"/>
      <sheetName val="PLRisk"/>
      <sheetName val="Trapped"/>
      <sheetName val="Turnkey"/>
      <sheetName val="Drawdown"/>
      <sheetName val="IDC"/>
      <sheetName val="Debt Amort"/>
      <sheetName val="Sudam"/>
      <sheetName val="Taxes"/>
      <sheetName val="Depr"/>
      <sheetName val="CommonSized"/>
      <sheetName val="BS_IS"/>
      <sheetName val="Ref1"/>
      <sheetName val="Ref2"/>
      <sheetName val="Ref3"/>
      <sheetName val="Ref4"/>
      <sheetName val="Ref5"/>
      <sheetName val="RAC_LDs"/>
      <sheetName val="Plant Operations"/>
      <sheetName val="Avail Penalty"/>
      <sheetName val="Annex 12-Plant"/>
      <sheetName val="Annex 12-Gas"/>
      <sheetName val="Annex 10-Plant"/>
      <sheetName val="Annex 10-Gas"/>
      <sheetName val="Fuel Expense"/>
      <sheetName val="Escalation"/>
      <sheetName val="US$ Table"/>
      <sheetName val="R$ Table"/>
      <sheetName val="NPV Of Tariff"/>
      <sheetName val="Converge"/>
    </sheetNames>
    <definedNames>
      <definedName name="Guar_Fee_Table" refersTo="[1]RAROC!$A$107:$D$113"/>
    </definedNames>
    <sheetDataSet>
      <sheetData sheetId="0"/>
      <sheetData sheetId="1"/>
      <sheetData sheetId="2">
        <row r="34">
          <cell r="C34">
            <v>-2801.42016208755</v>
          </cell>
          <cell r="D34">
            <v>-22887.8986788447</v>
          </cell>
          <cell r="E34">
            <v>3345.05753986848</v>
          </cell>
          <cell r="F34">
            <v>-376.980757468635</v>
          </cell>
          <cell r="G34">
            <v>-1357.41921238768</v>
          </cell>
          <cell r="H34">
            <v>-1853.19456118118</v>
          </cell>
          <cell r="I34">
            <v>-1174.92754756771</v>
          </cell>
          <cell r="J34">
            <v>-1214.56255456055</v>
          </cell>
          <cell r="K34">
            <v>-1106.08297900399</v>
          </cell>
          <cell r="L34">
            <v>-774.212977299903</v>
          </cell>
          <cell r="M34">
            <v>754.90476793333</v>
          </cell>
          <cell r="N34">
            <v>2279.36686156312</v>
          </cell>
          <cell r="O34">
            <v>2744.38518807498</v>
          </cell>
          <cell r="P34">
            <v>2749.16954491711</v>
          </cell>
          <cell r="Q34">
            <v>2763.49729329422</v>
          </cell>
          <cell r="R34">
            <v>2750.95531884383</v>
          </cell>
          <cell r="S34">
            <v>3494.55924338788</v>
          </cell>
          <cell r="T34">
            <v>4943.4190229529</v>
          </cell>
          <cell r="U34">
            <v>7708.38084705592</v>
          </cell>
          <cell r="V34">
            <v>7997.02319459783</v>
          </cell>
          <cell r="W34">
            <v>8120.01028511639</v>
          </cell>
          <cell r="X34">
            <v>98381.2423929742</v>
          </cell>
        </row>
        <row r="50">
          <cell r="J50">
            <v>36892</v>
          </cell>
        </row>
        <row r="51">
          <cell r="J51">
            <v>36951</v>
          </cell>
        </row>
        <row r="52">
          <cell r="J52">
            <v>37104</v>
          </cell>
        </row>
        <row r="78">
          <cell r="D78">
            <v>1</v>
          </cell>
        </row>
        <row r="83">
          <cell r="D83">
            <v>1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1.2</v>
          </cell>
          <cell r="J83">
            <v>1</v>
          </cell>
          <cell r="K83">
            <v>1</v>
          </cell>
          <cell r="L83">
            <v>1</v>
          </cell>
          <cell r="M83">
            <v>1</v>
          </cell>
          <cell r="N83">
            <v>1</v>
          </cell>
          <cell r="O83">
            <v>1</v>
          </cell>
          <cell r="P83">
            <v>1</v>
          </cell>
          <cell r="Q83">
            <v>1</v>
          </cell>
          <cell r="R83">
            <v>1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</row>
        <row r="103">
          <cell r="B103">
            <v>1</v>
          </cell>
        </row>
        <row r="107">
          <cell r="A107">
            <v>2001</v>
          </cell>
          <cell r="B107">
            <v>0.04</v>
          </cell>
          <cell r="C107">
            <v>0.04</v>
          </cell>
          <cell r="D107">
            <v>0.04</v>
          </cell>
        </row>
        <row r="108">
          <cell r="A108">
            <v>2002</v>
          </cell>
          <cell r="B108">
            <v>0.04</v>
          </cell>
          <cell r="C108">
            <v>0.04</v>
          </cell>
          <cell r="D108">
            <v>0.04</v>
          </cell>
        </row>
        <row r="109">
          <cell r="A109">
            <v>2003</v>
          </cell>
          <cell r="B109">
            <v>0.04</v>
          </cell>
          <cell r="C109">
            <v>0.04</v>
          </cell>
          <cell r="D109">
            <v>0.04</v>
          </cell>
        </row>
        <row r="110">
          <cell r="A110">
            <v>2004</v>
          </cell>
          <cell r="B110">
            <v>0</v>
          </cell>
          <cell r="C110">
            <v>0.04</v>
          </cell>
          <cell r="D110">
            <v>0.04</v>
          </cell>
        </row>
        <row r="111">
          <cell r="A111">
            <v>2005</v>
          </cell>
          <cell r="B111">
            <v>0</v>
          </cell>
          <cell r="C111">
            <v>0.04</v>
          </cell>
          <cell r="D111">
            <v>0.04</v>
          </cell>
        </row>
        <row r="112">
          <cell r="A112">
            <v>2006</v>
          </cell>
          <cell r="B112">
            <v>0</v>
          </cell>
          <cell r="C112">
            <v>0</v>
          </cell>
          <cell r="D112">
            <v>0.04</v>
          </cell>
        </row>
        <row r="113">
          <cell r="A113">
            <v>2007</v>
          </cell>
          <cell r="B113">
            <v>0</v>
          </cell>
          <cell r="C113">
            <v>0</v>
          </cell>
          <cell r="D113">
            <v>0.04</v>
          </cell>
        </row>
        <row r="119">
          <cell r="C119">
            <v>10499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RAC_ASSUMP"/>
      <sheetName val="RAC_RATIOS"/>
      <sheetName val="Summary WO-TBS"/>
      <sheetName val="Summary W-TBS"/>
      <sheetName val="Enron Summary W-TBS"/>
      <sheetName val="Shell &amp; Transredes"/>
      <sheetName val="Fin Stmts WO-TBS"/>
      <sheetName val="Current Finance"/>
      <sheetName val="IDC"/>
      <sheetName val="Senior Debt Split"/>
      <sheetName val="Default Payment"/>
      <sheetName val="Consolidated Project Cost"/>
      <sheetName val="Funded Project Cost"/>
    </sheetNames>
    <definedNames>
      <definedName name="GasMat_Disc" refersTo="[2]RAC_ASSUMP!$C$6"/>
    </definedNames>
    <sheetDataSet>
      <sheetData sheetId="0"/>
      <sheetData sheetId="1">
        <row r="6">
          <cell r="C6">
            <v>0.19</v>
          </cell>
        </row>
        <row r="15">
          <cell r="C15">
            <v>36770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Valuation 4-30-00"/>
      <sheetName val="Annual Curve Selection"/>
      <sheetName val="Monthly Curve Calc."/>
      <sheetName val="11-17-99 CPI &amp; PPI"/>
      <sheetName val="1-28-2000 WTI"/>
      <sheetName val="012600 cpi-ppi"/>
      <sheetName val="02112000 USD-CPI-IGPM"/>
    </sheetNames>
    <sheetDataSet>
      <sheetData sheetId="0"/>
      <sheetData sheetId="1"/>
      <sheetData sheetId="2">
        <row r="12">
          <cell r="F12">
            <v>0</v>
          </cell>
        </row>
        <row r="22">
          <cell r="B22">
            <v>134.689</v>
          </cell>
          <cell r="C22">
            <v>159.1</v>
          </cell>
          <cell r="D22">
            <v>133</v>
          </cell>
          <cell r="E22">
            <v>25.92</v>
          </cell>
          <cell r="F22">
            <v>1.0385</v>
          </cell>
        </row>
        <row r="23">
          <cell r="B23">
            <v>136.814</v>
          </cell>
          <cell r="C23">
            <v>159.1</v>
          </cell>
          <cell r="D23">
            <v>133</v>
          </cell>
          <cell r="E23">
            <v>24.15</v>
          </cell>
          <cell r="F23">
            <v>1.0456</v>
          </cell>
        </row>
        <row r="24">
          <cell r="B24">
            <v>137.39</v>
          </cell>
          <cell r="C24">
            <v>159.6</v>
          </cell>
          <cell r="D24">
            <v>132.7</v>
          </cell>
          <cell r="E24">
            <v>20.3</v>
          </cell>
          <cell r="F24">
            <v>1.051</v>
          </cell>
        </row>
        <row r="25">
          <cell r="B25">
            <v>138.99</v>
          </cell>
          <cell r="C25">
            <v>160</v>
          </cell>
          <cell r="D25">
            <v>132.5</v>
          </cell>
          <cell r="E25">
            <v>20.41</v>
          </cell>
          <cell r="F25">
            <v>1.0594</v>
          </cell>
        </row>
        <row r="26">
          <cell r="B26">
            <v>139.807</v>
          </cell>
          <cell r="C26">
            <v>160.2</v>
          </cell>
          <cell r="D26">
            <v>131.9</v>
          </cell>
          <cell r="E26">
            <v>19.74773</v>
          </cell>
          <cell r="F26">
            <v>1.0635</v>
          </cell>
        </row>
        <row r="27">
          <cell r="B27">
            <v>140.22</v>
          </cell>
          <cell r="C27">
            <v>160.1</v>
          </cell>
          <cell r="D27">
            <v>131.6</v>
          </cell>
          <cell r="E27">
            <v>20.91</v>
          </cell>
          <cell r="F27">
            <v>1.0703</v>
          </cell>
        </row>
        <row r="28">
          <cell r="B28">
            <v>141.207</v>
          </cell>
          <cell r="C28">
            <v>160.3</v>
          </cell>
          <cell r="D28">
            <v>131.3</v>
          </cell>
          <cell r="E28">
            <v>19.27738</v>
          </cell>
          <cell r="F28">
            <v>1.0766</v>
          </cell>
        </row>
        <row r="29">
          <cell r="B29">
            <v>141.33</v>
          </cell>
          <cell r="C29">
            <v>160.5</v>
          </cell>
          <cell r="D29">
            <v>131</v>
          </cell>
          <cell r="E29">
            <v>19.63409</v>
          </cell>
          <cell r="F29">
            <v>1.0829</v>
          </cell>
        </row>
        <row r="30">
          <cell r="B30">
            <v>141.26</v>
          </cell>
          <cell r="C30">
            <v>160.8</v>
          </cell>
          <cell r="D30">
            <v>131.3</v>
          </cell>
          <cell r="E30">
            <v>19.93286</v>
          </cell>
          <cell r="F30">
            <v>1.0913</v>
          </cell>
        </row>
        <row r="31">
          <cell r="B31">
            <v>142.101</v>
          </cell>
          <cell r="C31">
            <v>161.2</v>
          </cell>
          <cell r="D31">
            <v>131.7</v>
          </cell>
          <cell r="E31">
            <v>19.775955</v>
          </cell>
          <cell r="F31">
            <v>1.096</v>
          </cell>
        </row>
        <row r="32">
          <cell r="B32">
            <v>142.587</v>
          </cell>
          <cell r="C32">
            <v>161.6</v>
          </cell>
          <cell r="D32">
            <v>131.8</v>
          </cell>
          <cell r="E32">
            <v>21.271305</v>
          </cell>
          <cell r="F32">
            <v>1.1027</v>
          </cell>
        </row>
        <row r="33">
          <cell r="B33">
            <v>143.771</v>
          </cell>
          <cell r="C33">
            <v>161.5</v>
          </cell>
          <cell r="D33">
            <v>131.5</v>
          </cell>
          <cell r="E33">
            <v>20.176945</v>
          </cell>
          <cell r="F33">
            <v>1.1095</v>
          </cell>
        </row>
        <row r="34">
          <cell r="B34">
            <v>144.765</v>
          </cell>
          <cell r="C34">
            <v>161.3</v>
          </cell>
          <cell r="D34">
            <v>131.4</v>
          </cell>
          <cell r="E34">
            <v>18.299775</v>
          </cell>
          <cell r="F34">
            <v>1.116</v>
          </cell>
        </row>
        <row r="35">
          <cell r="B35">
            <v>146.038</v>
          </cell>
          <cell r="C35">
            <v>161.6</v>
          </cell>
          <cell r="D35">
            <v>130.6</v>
          </cell>
          <cell r="E35">
            <v>16.6885</v>
          </cell>
          <cell r="F35">
            <v>1.1234</v>
          </cell>
        </row>
        <row r="36">
          <cell r="B36">
            <v>146.067</v>
          </cell>
          <cell r="C36">
            <v>161.9</v>
          </cell>
          <cell r="D36">
            <v>130.5</v>
          </cell>
          <cell r="E36">
            <v>16.072895</v>
          </cell>
          <cell r="F36">
            <v>1.13</v>
          </cell>
        </row>
        <row r="37">
          <cell r="B37">
            <v>146.406</v>
          </cell>
          <cell r="C37">
            <v>162.2</v>
          </cell>
          <cell r="D37">
            <v>130.5</v>
          </cell>
          <cell r="E37">
            <v>15.098635</v>
          </cell>
          <cell r="F37">
            <v>1.137</v>
          </cell>
        </row>
        <row r="38">
          <cell r="B38">
            <v>146.211</v>
          </cell>
          <cell r="C38">
            <v>162.5</v>
          </cell>
          <cell r="D38">
            <v>130.7</v>
          </cell>
          <cell r="E38">
            <v>15.31643</v>
          </cell>
          <cell r="F38">
            <v>1.1443</v>
          </cell>
        </row>
        <row r="39">
          <cell r="B39">
            <v>146.544</v>
          </cell>
          <cell r="C39">
            <v>162.8</v>
          </cell>
          <cell r="D39">
            <v>130.6</v>
          </cell>
          <cell r="E39">
            <v>14.92775</v>
          </cell>
          <cell r="F39">
            <v>1.1501</v>
          </cell>
        </row>
        <row r="40">
          <cell r="B40">
            <v>146.951</v>
          </cell>
          <cell r="C40">
            <v>163</v>
          </cell>
          <cell r="D40">
            <v>130.4</v>
          </cell>
          <cell r="E40">
            <v>13.68614</v>
          </cell>
          <cell r="F40">
            <v>1.1565</v>
          </cell>
        </row>
        <row r="41">
          <cell r="B41">
            <v>146.39</v>
          </cell>
          <cell r="C41">
            <v>163.2</v>
          </cell>
          <cell r="D41">
            <v>130.7</v>
          </cell>
          <cell r="E41">
            <v>14.26</v>
          </cell>
          <cell r="F41">
            <v>1.163</v>
          </cell>
        </row>
        <row r="42">
          <cell r="B42">
            <v>146.144</v>
          </cell>
          <cell r="C42">
            <v>163.4</v>
          </cell>
          <cell r="D42">
            <v>130.3</v>
          </cell>
          <cell r="E42">
            <v>13.38</v>
          </cell>
          <cell r="F42">
            <v>1.1765</v>
          </cell>
        </row>
        <row r="43">
          <cell r="B43">
            <v>146.111</v>
          </cell>
          <cell r="C43">
            <v>163.6</v>
          </cell>
          <cell r="D43">
            <v>130.6</v>
          </cell>
          <cell r="E43">
            <v>16.17</v>
          </cell>
          <cell r="F43">
            <v>1.1856</v>
          </cell>
        </row>
        <row r="44">
          <cell r="B44">
            <v>146.063</v>
          </cell>
          <cell r="C44">
            <v>164</v>
          </cell>
          <cell r="D44">
            <v>131</v>
          </cell>
          <cell r="E44">
            <v>14.45</v>
          </cell>
          <cell r="F44">
            <v>1.1928</v>
          </cell>
        </row>
        <row r="45">
          <cell r="B45">
            <v>145.797</v>
          </cell>
          <cell r="C45">
            <v>164</v>
          </cell>
          <cell r="D45">
            <v>130.7</v>
          </cell>
          <cell r="E45">
            <v>11.26</v>
          </cell>
          <cell r="F45">
            <v>1.2008</v>
          </cell>
        </row>
        <row r="46">
          <cell r="B46">
            <v>147.23</v>
          </cell>
          <cell r="C46">
            <v>163.9</v>
          </cell>
          <cell r="D46">
            <v>131.3</v>
          </cell>
          <cell r="E46">
            <v>12.09</v>
          </cell>
          <cell r="F46">
            <v>1.2083</v>
          </cell>
        </row>
        <row r="47">
          <cell r="B47">
            <v>148.92</v>
          </cell>
          <cell r="C47">
            <v>164.3</v>
          </cell>
          <cell r="D47">
            <v>131.7</v>
          </cell>
          <cell r="E47">
            <v>12.76</v>
          </cell>
          <cell r="F47">
            <v>2.05</v>
          </cell>
        </row>
        <row r="48">
          <cell r="B48">
            <v>155.53</v>
          </cell>
          <cell r="C48">
            <v>164.5</v>
          </cell>
          <cell r="D48">
            <v>131.1</v>
          </cell>
          <cell r="E48">
            <v>12.28</v>
          </cell>
          <cell r="F48">
            <v>2.035</v>
          </cell>
        </row>
        <row r="49">
          <cell r="B49">
            <v>158.6</v>
          </cell>
          <cell r="C49">
            <v>165</v>
          </cell>
          <cell r="D49">
            <v>131.5</v>
          </cell>
          <cell r="E49">
            <v>16.76</v>
          </cell>
          <cell r="F49">
            <v>1.7175</v>
          </cell>
        </row>
        <row r="50">
          <cell r="B50">
            <v>158.65</v>
          </cell>
          <cell r="C50">
            <v>166.2</v>
          </cell>
          <cell r="D50">
            <v>132.2</v>
          </cell>
          <cell r="E50">
            <v>18.66</v>
          </cell>
          <cell r="F50">
            <v>1.665</v>
          </cell>
        </row>
        <row r="51">
          <cell r="B51">
            <v>158.1</v>
          </cell>
          <cell r="C51">
            <v>166.2</v>
          </cell>
          <cell r="D51">
            <v>132.4</v>
          </cell>
          <cell r="E51">
            <v>16.84</v>
          </cell>
          <cell r="F51">
            <v>1.721</v>
          </cell>
        </row>
        <row r="52">
          <cell r="B52">
            <v>159.71</v>
          </cell>
          <cell r="C52">
            <v>166.2</v>
          </cell>
          <cell r="D52">
            <v>132.3</v>
          </cell>
          <cell r="E52">
            <v>19.29</v>
          </cell>
          <cell r="F52">
            <v>1.7525</v>
          </cell>
        </row>
        <row r="53">
          <cell r="B53">
            <v>162.25</v>
          </cell>
          <cell r="C53">
            <v>166.7</v>
          </cell>
          <cell r="D53">
            <v>132.6</v>
          </cell>
          <cell r="E53">
            <v>20.53</v>
          </cell>
          <cell r="F53">
            <v>1.801</v>
          </cell>
        </row>
        <row r="54">
          <cell r="B54">
            <v>164.61</v>
          </cell>
          <cell r="C54">
            <v>167.1</v>
          </cell>
          <cell r="D54">
            <v>133.4</v>
          </cell>
          <cell r="E54">
            <v>22.11</v>
          </cell>
          <cell r="F54">
            <v>1.919</v>
          </cell>
        </row>
        <row r="55">
          <cell r="B55">
            <v>167.03</v>
          </cell>
          <cell r="C55">
            <v>167.9</v>
          </cell>
          <cell r="D55">
            <v>134.7</v>
          </cell>
          <cell r="E55">
            <v>24.51</v>
          </cell>
          <cell r="F55">
            <v>1.9375</v>
          </cell>
        </row>
        <row r="56">
          <cell r="B56">
            <v>170.18</v>
          </cell>
          <cell r="C56">
            <v>168.2</v>
          </cell>
          <cell r="D56">
            <v>134.5</v>
          </cell>
          <cell r="E56">
            <v>21.75</v>
          </cell>
          <cell r="F56">
            <v>1.949</v>
          </cell>
        </row>
        <row r="57">
          <cell r="B57">
            <v>174.5</v>
          </cell>
          <cell r="C57">
            <v>168.3</v>
          </cell>
          <cell r="D57">
            <v>134.8</v>
          </cell>
          <cell r="E57">
            <v>24.59</v>
          </cell>
          <cell r="F57">
            <v>1.923</v>
          </cell>
        </row>
        <row r="58">
          <cell r="B58">
            <v>176.65</v>
          </cell>
          <cell r="C58">
            <v>168.3</v>
          </cell>
          <cell r="D58">
            <v>135.2</v>
          </cell>
          <cell r="E58">
            <v>25.6</v>
          </cell>
          <cell r="F58">
            <v>1.799</v>
          </cell>
        </row>
        <row r="59">
          <cell r="B59">
            <v>177.962667619927</v>
          </cell>
          <cell r="C59">
            <v>168.759419216569</v>
          </cell>
          <cell r="D59">
            <v>135.639875986202</v>
          </cell>
          <cell r="E59">
            <v>26.1920833333333</v>
          </cell>
          <cell r="F59">
            <v>1.79475064868979</v>
          </cell>
        </row>
        <row r="60">
          <cell r="B60">
            <v>179.285089535243</v>
          </cell>
          <cell r="C60">
            <v>169.220092538999</v>
          </cell>
          <cell r="D60">
            <v>136.081183117991</v>
          </cell>
          <cell r="E60">
            <v>26.7841666666667</v>
          </cell>
          <cell r="F60">
            <v>1.79051133461502</v>
          </cell>
        </row>
        <row r="61">
          <cell r="B61">
            <v>180.617338229093</v>
          </cell>
          <cell r="C61">
            <v>169.682023390704</v>
          </cell>
          <cell r="D61">
            <v>136.523926051627</v>
          </cell>
          <cell r="E61">
            <v>27.37625</v>
          </cell>
          <cell r="F61">
            <v>1.78628203406711</v>
          </cell>
        </row>
        <row r="62">
          <cell r="B62">
            <v>181.959486723239</v>
          </cell>
          <cell r="C62">
            <v>170.145215204442</v>
          </cell>
          <cell r="D62">
            <v>136.968109458522</v>
          </cell>
          <cell r="E62">
            <v>27.9683333333333</v>
          </cell>
          <cell r="F62">
            <v>1.78206272339347</v>
          </cell>
        </row>
        <row r="63">
          <cell r="B63">
            <v>183.311608582057</v>
          </cell>
          <cell r="C63">
            <v>170.609671422339</v>
          </cell>
          <cell r="D63">
            <v>137.413738025284</v>
          </cell>
          <cell r="E63">
            <v>28.5604166666667</v>
          </cell>
          <cell r="F63">
            <v>1.7778533789974</v>
          </cell>
        </row>
        <row r="64">
          <cell r="B64">
            <v>184.673777916574</v>
          </cell>
          <cell r="C64">
            <v>171.075395495921</v>
          </cell>
          <cell r="D64">
            <v>137.860816453773</v>
          </cell>
          <cell r="E64">
            <v>29.1525</v>
          </cell>
          <cell r="F64">
            <v>1.77365397733792</v>
          </cell>
        </row>
        <row r="65">
          <cell r="B65">
            <v>186.046069388528</v>
          </cell>
          <cell r="C65">
            <v>171.542390886135</v>
          </cell>
          <cell r="D65">
            <v>138.309349461142</v>
          </cell>
          <cell r="E65">
            <v>29.7445833333333</v>
          </cell>
          <cell r="F65">
            <v>1.76946449492966</v>
          </cell>
        </row>
        <row r="66">
          <cell r="B66">
            <v>187.428558214461</v>
          </cell>
          <cell r="C66">
            <v>172.010661063373</v>
          </cell>
          <cell r="D66">
            <v>138.759341779893</v>
          </cell>
          <cell r="E66">
            <v>30.3366666666667</v>
          </cell>
          <cell r="F66">
            <v>1.76528490834273</v>
          </cell>
        </row>
        <row r="67">
          <cell r="B67">
            <v>188.82132016984</v>
          </cell>
          <cell r="C67">
            <v>172.480209507504</v>
          </cell>
          <cell r="D67">
            <v>139.210798157927</v>
          </cell>
          <cell r="E67">
            <v>30.92875</v>
          </cell>
          <cell r="F67">
            <v>1.76111519420256</v>
          </cell>
        </row>
        <row r="68">
          <cell r="B68">
            <v>190.224431593213</v>
          </cell>
          <cell r="C68">
            <v>172.951039707894</v>
          </cell>
          <cell r="D68">
            <v>139.663723358591</v>
          </cell>
          <cell r="E68">
            <v>31.5208333333334</v>
          </cell>
          <cell r="F68">
            <v>1.75695532918982</v>
          </cell>
        </row>
        <row r="69">
          <cell r="B69">
            <v>191.637969390391</v>
          </cell>
          <cell r="C69">
            <v>173.423155163434</v>
          </cell>
          <cell r="D69">
            <v>140.118122160729</v>
          </cell>
          <cell r="E69">
            <v>32.1129166666667</v>
          </cell>
          <cell r="F69">
            <v>1.75280529004025</v>
          </cell>
        </row>
        <row r="70">
          <cell r="B70">
            <v>193.062011038664</v>
          </cell>
          <cell r="C70">
            <v>173.896559382566</v>
          </cell>
          <cell r="D70">
            <v>140.573999358734</v>
          </cell>
          <cell r="E70">
            <v>26.745</v>
          </cell>
          <cell r="F70">
            <v>1.80386772326803</v>
          </cell>
        </row>
        <row r="71">
          <cell r="B71">
            <v>194.453471372283</v>
          </cell>
          <cell r="C71">
            <v>174.362626231407</v>
          </cell>
          <cell r="D71">
            <v>140.996524595263</v>
          </cell>
          <cell r="E71">
            <v>26.4221527777778</v>
          </cell>
          <cell r="F71">
            <v>1.81882126905259</v>
          </cell>
        </row>
        <row r="72">
          <cell r="B72">
            <v>195.854960410408</v>
          </cell>
          <cell r="C72">
            <v>174.829942203913</v>
          </cell>
          <cell r="D72">
            <v>141.420319821808</v>
          </cell>
          <cell r="E72">
            <v>26.0993055555556</v>
          </cell>
          <cell r="F72">
            <v>1.8338987754406</v>
          </cell>
        </row>
        <row r="73">
          <cell r="B73">
            <v>197.266550433155</v>
          </cell>
          <cell r="C73">
            <v>175.298510647909</v>
          </cell>
          <cell r="D73">
            <v>141.845388855593</v>
          </cell>
          <cell r="E73">
            <v>25.7764583333333</v>
          </cell>
          <cell r="F73">
            <v>1.84910127002989</v>
          </cell>
        </row>
        <row r="74">
          <cell r="B74">
            <v>198.688314241586</v>
          </cell>
          <cell r="C74">
            <v>175.76833492019</v>
          </cell>
          <cell r="D74">
            <v>142.271735525321</v>
          </cell>
          <cell r="E74">
            <v>25.4536111111111</v>
          </cell>
          <cell r="F74">
            <v>1.8644297889368</v>
          </cell>
        </row>
        <row r="75">
          <cell r="B75">
            <v>200.120325161463</v>
          </cell>
          <cell r="C75">
            <v>176.239418386552</v>
          </cell>
          <cell r="D75">
            <v>142.699363671198</v>
          </cell>
          <cell r="E75">
            <v>25.1307638888889</v>
          </cell>
          <cell r="F75">
            <v>1.87988537686674</v>
          </cell>
        </row>
        <row r="76">
          <cell r="B76">
            <v>201.562657047032</v>
          </cell>
          <cell r="C76">
            <v>176.711764421808</v>
          </cell>
          <cell r="D76">
            <v>143.128277144976</v>
          </cell>
          <cell r="E76">
            <v>24.8079166666667</v>
          </cell>
          <cell r="F76">
            <v>1.89546908718545</v>
          </cell>
        </row>
        <row r="77">
          <cell r="B77">
            <v>203.01538428483</v>
          </cell>
          <cell r="C77">
            <v>177.185376409817</v>
          </cell>
          <cell r="D77">
            <v>143.558479809983</v>
          </cell>
          <cell r="E77">
            <v>24.4850694444444</v>
          </cell>
          <cell r="F77">
            <v>1.91118198199078</v>
          </cell>
        </row>
        <row r="78">
          <cell r="B78">
            <v>204.47858179752</v>
          </cell>
          <cell r="C78">
            <v>177.660257743509</v>
          </cell>
          <cell r="D78">
            <v>143.989975541158</v>
          </cell>
          <cell r="E78">
            <v>24.1622222222222</v>
          </cell>
          <cell r="F78">
            <v>1.92702513218504</v>
          </cell>
        </row>
        <row r="79">
          <cell r="B79">
            <v>205.95232504776</v>
          </cell>
          <cell r="C79">
            <v>178.136411824906</v>
          </cell>
          <cell r="D79">
            <v>144.422768225089</v>
          </cell>
          <cell r="E79">
            <v>23.839375</v>
          </cell>
          <cell r="F79">
            <v>1.94299961754803</v>
          </cell>
        </row>
        <row r="80">
          <cell r="B80">
            <v>207.43669004209</v>
          </cell>
          <cell r="C80">
            <v>178.613842065146</v>
          </cell>
          <cell r="D80">
            <v>144.856861760046</v>
          </cell>
          <cell r="E80">
            <v>23.5165277777778</v>
          </cell>
          <cell r="F80">
            <v>1.95910652681061</v>
          </cell>
        </row>
        <row r="81">
          <cell r="B81">
            <v>208.931753334852</v>
          </cell>
          <cell r="C81">
            <v>179.092551884514</v>
          </cell>
          <cell r="D81">
            <v>145.292260056013</v>
          </cell>
          <cell r="E81">
            <v>23.1936805555556</v>
          </cell>
          <cell r="F81">
            <v>1.97534695772891</v>
          </cell>
        </row>
        <row r="82">
          <cell r="B82">
            <v>210.437592032144</v>
          </cell>
          <cell r="C82">
            <v>179.572544712458</v>
          </cell>
          <cell r="D82">
            <v>145.72896703473</v>
          </cell>
          <cell r="E82">
            <v>22.8708333333333</v>
          </cell>
          <cell r="F82">
            <v>1.99172201715913</v>
          </cell>
        </row>
        <row r="83">
          <cell r="B83">
            <v>211.87309067014</v>
          </cell>
          <cell r="C83">
            <v>180.021954839391</v>
          </cell>
          <cell r="D83">
            <v>146.092801264201</v>
          </cell>
          <cell r="E83">
            <v>22.7121527777778</v>
          </cell>
          <cell r="F83">
            <v>2.00248656102165</v>
          </cell>
        </row>
        <row r="84">
          <cell r="B84">
            <v>213.318381552572</v>
          </cell>
          <cell r="C84">
            <v>180.472489689831</v>
          </cell>
          <cell r="D84">
            <v>146.45754386041</v>
          </cell>
          <cell r="E84">
            <v>22.5534722222222</v>
          </cell>
          <cell r="F84">
            <v>2.01330928338677</v>
          </cell>
        </row>
        <row r="85">
          <cell r="B85">
            <v>214.773531477171</v>
          </cell>
          <cell r="C85">
            <v>180.924152078586</v>
          </cell>
          <cell r="D85">
            <v>146.823197091233</v>
          </cell>
          <cell r="E85">
            <v>22.3947916666667</v>
          </cell>
          <cell r="F85">
            <v>2.02419049868846</v>
          </cell>
        </row>
        <row r="86">
          <cell r="B86">
            <v>216.238607697327</v>
          </cell>
          <cell r="C86">
            <v>181.376944827506</v>
          </cell>
          <cell r="D86">
            <v>147.189763230203</v>
          </cell>
          <cell r="E86">
            <v>22.2361111111111</v>
          </cell>
          <cell r="F86">
            <v>2.03513052306008</v>
          </cell>
        </row>
        <row r="87">
          <cell r="B87">
            <v>217.713677925199</v>
          </cell>
          <cell r="C87">
            <v>181.830870765507</v>
          </cell>
          <cell r="D87">
            <v>147.557244556535</v>
          </cell>
          <cell r="E87">
            <v>22.0774305555556</v>
          </cell>
          <cell r="F87">
            <v>2.04612967434359</v>
          </cell>
        </row>
        <row r="88">
          <cell r="B88">
            <v>219.198810334845</v>
          </cell>
          <cell r="C88">
            <v>182.285932728581</v>
          </cell>
          <cell r="D88">
            <v>147.92564335513</v>
          </cell>
          <cell r="E88">
            <v>21.91875</v>
          </cell>
          <cell r="F88">
            <v>2.05718827209876</v>
          </cell>
        </row>
        <row r="89">
          <cell r="B89">
            <v>220.694073565371</v>
          </cell>
          <cell r="C89">
            <v>182.742133559822</v>
          </cell>
          <cell r="D89">
            <v>148.294961916595</v>
          </cell>
          <cell r="E89">
            <v>21.7600694444444</v>
          </cell>
          <cell r="F89">
            <v>2.06830663761246</v>
          </cell>
        </row>
        <row r="90">
          <cell r="B90">
            <v>222.199536724104</v>
          </cell>
          <cell r="C90">
            <v>183.199476109434</v>
          </cell>
          <cell r="D90">
            <v>148.665202537257</v>
          </cell>
          <cell r="E90">
            <v>21.6013888888889</v>
          </cell>
          <cell r="F90">
            <v>2.07948509390801</v>
          </cell>
        </row>
        <row r="91">
          <cell r="B91">
            <v>223.715269389788</v>
          </cell>
          <cell r="C91">
            <v>183.657963234759</v>
          </cell>
          <cell r="D91">
            <v>149.036367519174</v>
          </cell>
          <cell r="E91">
            <v>21.4427083333333</v>
          </cell>
          <cell r="F91">
            <v>2.09072396575457</v>
          </cell>
        </row>
        <row r="92">
          <cell r="B92">
            <v>225.241341615795</v>
          </cell>
          <cell r="C92">
            <v>184.117597800287</v>
          </cell>
          <cell r="D92">
            <v>149.408459170153</v>
          </cell>
          <cell r="E92">
            <v>21.2840277777778</v>
          </cell>
          <cell r="F92">
            <v>2.10202357967654</v>
          </cell>
        </row>
        <row r="93">
          <cell r="B93">
            <v>226.777823933367</v>
          </cell>
          <cell r="C93">
            <v>184.578382677678</v>
          </cell>
          <cell r="D93">
            <v>149.781479803763</v>
          </cell>
          <cell r="E93">
            <v>21.1253472222222</v>
          </cell>
          <cell r="F93">
            <v>2.11338426396307</v>
          </cell>
        </row>
        <row r="94">
          <cell r="B94">
            <v>228.324787354876</v>
          </cell>
          <cell r="C94">
            <v>185.040320745779</v>
          </cell>
          <cell r="D94">
            <v>150.155431739348</v>
          </cell>
          <cell r="E94">
            <v>20.9666666666667</v>
          </cell>
          <cell r="F94">
            <v>2.12480634867759</v>
          </cell>
        </row>
        <row r="95">
          <cell r="B95">
            <v>229.793835911578</v>
          </cell>
          <cell r="C95">
            <v>185.488406521398</v>
          </cell>
          <cell r="D95">
            <v>150.500358235925</v>
          </cell>
          <cell r="E95">
            <v>20.8947916666667</v>
          </cell>
          <cell r="F95">
            <v>2.13087787834043</v>
          </cell>
        </row>
        <row r="96">
          <cell r="B96">
            <v>231.272336370926</v>
          </cell>
          <cell r="C96">
            <v>185.937577362486</v>
          </cell>
          <cell r="D96">
            <v>150.84607707339</v>
          </cell>
          <cell r="E96">
            <v>20.8229166666667</v>
          </cell>
          <cell r="F96">
            <v>2.13696675710073</v>
          </cell>
        </row>
        <row r="97">
          <cell r="B97">
            <v>232.760349546747</v>
          </cell>
          <cell r="C97">
            <v>186.38783589659</v>
          </cell>
          <cell r="D97">
            <v>151.192590071852</v>
          </cell>
          <cell r="E97">
            <v>20.7510416666667</v>
          </cell>
          <cell r="F97">
            <v>2.14307303453269</v>
          </cell>
        </row>
        <row r="98">
          <cell r="B98">
            <v>234.257936644146</v>
          </cell>
          <cell r="C98">
            <v>186.839184757623</v>
          </cell>
          <cell r="D98">
            <v>151.539899055602</v>
          </cell>
          <cell r="E98">
            <v>20.6791666666667</v>
          </cell>
          <cell r="F98">
            <v>2.14919676035217</v>
          </cell>
        </row>
        <row r="99">
          <cell r="B99">
            <v>235.765159262022</v>
          </cell>
          <cell r="C99">
            <v>187.291626585873</v>
          </cell>
          <cell r="D99">
            <v>151.888005853122</v>
          </cell>
          <cell r="E99">
            <v>20.6072916666667</v>
          </cell>
          <cell r="F99">
            <v>2.15533798441706</v>
          </cell>
        </row>
        <row r="100">
          <cell r="B100">
            <v>237.282079395603</v>
          </cell>
          <cell r="C100">
            <v>187.745164028023</v>
          </cell>
          <cell r="D100">
            <v>152.236912297093</v>
          </cell>
          <cell r="E100">
            <v>20.5354166666667</v>
          </cell>
          <cell r="F100">
            <v>2.16149675672775</v>
          </cell>
        </row>
        <row r="101">
          <cell r="B101">
            <v>238.808759438999</v>
          </cell>
          <cell r="C101">
            <v>188.199799737166</v>
          </cell>
          <cell r="D101">
            <v>152.586620224406</v>
          </cell>
          <cell r="E101">
            <v>20.4635416666667</v>
          </cell>
          <cell r="F101">
            <v>2.16767312742749</v>
          </cell>
        </row>
        <row r="102">
          <cell r="B102">
            <v>240.345262187762</v>
          </cell>
          <cell r="C102">
            <v>188.655536372818</v>
          </cell>
          <cell r="D102">
            <v>152.937131476173</v>
          </cell>
          <cell r="E102">
            <v>20.3916666666667</v>
          </cell>
          <cell r="F102">
            <v>2.17386714680281</v>
          </cell>
        </row>
        <row r="103">
          <cell r="B103">
            <v>241.891650841475</v>
          </cell>
          <cell r="C103">
            <v>189.112376600935</v>
          </cell>
          <cell r="D103">
            <v>153.288447897734</v>
          </cell>
          <cell r="E103">
            <v>20.3197916666667</v>
          </cell>
          <cell r="F103">
            <v>2.18007886528392</v>
          </cell>
        </row>
        <row r="104">
          <cell r="B104">
            <v>243.447989006347</v>
          </cell>
          <cell r="C104">
            <v>189.570323093932</v>
          </cell>
          <cell r="D104">
            <v>153.640571338669</v>
          </cell>
          <cell r="E104">
            <v>20.2479166666667</v>
          </cell>
          <cell r="F104">
            <v>2.18630833344516</v>
          </cell>
        </row>
        <row r="105">
          <cell r="B105">
            <v>245.014340697834</v>
          </cell>
          <cell r="C105">
            <v>190.02937853069</v>
          </cell>
          <cell r="D105">
            <v>153.993503652806</v>
          </cell>
          <cell r="E105">
            <v>20.1760416666667</v>
          </cell>
          <cell r="F105">
            <v>2.19255560200536</v>
          </cell>
        </row>
        <row r="106">
          <cell r="B106">
            <v>246.590770343266</v>
          </cell>
          <cell r="C106">
            <v>190.489545596583</v>
          </cell>
          <cell r="D106">
            <v>154.347246698232</v>
          </cell>
          <cell r="E106">
            <v>20.1041666666667</v>
          </cell>
          <cell r="F106">
            <v>2.19882072182829</v>
          </cell>
        </row>
        <row r="107">
          <cell r="B107">
            <v>248.177342784504</v>
          </cell>
          <cell r="C107">
            <v>190.939552895467</v>
          </cell>
          <cell r="D107">
            <v>154.678738625621</v>
          </cell>
          <cell r="E107">
            <v>20.0728125</v>
          </cell>
          <cell r="F107">
            <v>2.20450306493358</v>
          </cell>
        </row>
        <row r="108">
          <cell r="B108">
            <v>249.7741232806</v>
          </cell>
          <cell r="C108">
            <v>191.3906232793</v>
          </cell>
          <cell r="D108">
            <v>155.010942498964</v>
          </cell>
          <cell r="E108">
            <v>20.0414583333333</v>
          </cell>
          <cell r="F108">
            <v>2.21020009273911</v>
          </cell>
        </row>
        <row r="109">
          <cell r="B109">
            <v>251.381177510487</v>
          </cell>
          <cell r="C109">
            <v>191.842759259487</v>
          </cell>
          <cell r="D109">
            <v>155.343859847311</v>
          </cell>
          <cell r="E109">
            <v>20.0101041666667</v>
          </cell>
          <cell r="F109">
            <v>2.21591184319408</v>
          </cell>
        </row>
        <row r="110">
          <cell r="B110">
            <v>252.998571575677</v>
          </cell>
          <cell r="C110">
            <v>192.295963353362</v>
          </cell>
          <cell r="D110">
            <v>155.677492202992</v>
          </cell>
          <cell r="E110">
            <v>19.97875</v>
          </cell>
          <cell r="F110">
            <v>2.22163835434577</v>
          </cell>
        </row>
        <row r="111">
          <cell r="B111">
            <v>254.626372002983</v>
          </cell>
          <cell r="C111">
            <v>192.750238084208</v>
          </cell>
          <cell r="D111">
            <v>156.01184110163</v>
          </cell>
          <cell r="E111">
            <v>19.9473958333333</v>
          </cell>
          <cell r="F111">
            <v>2.22737966433978</v>
          </cell>
        </row>
        <row r="112">
          <cell r="B112">
            <v>256.264645747251</v>
          </cell>
          <cell r="C112">
            <v>193.205585981269</v>
          </cell>
          <cell r="D112">
            <v>156.346908082147</v>
          </cell>
          <cell r="E112">
            <v>19.9160416666667</v>
          </cell>
          <cell r="F112">
            <v>2.23313581142029</v>
          </cell>
        </row>
        <row r="113">
          <cell r="B113">
            <v>257.913460194119</v>
          </cell>
          <cell r="C113">
            <v>193.662009579763</v>
          </cell>
          <cell r="D113">
            <v>156.682694686768</v>
          </cell>
          <cell r="E113">
            <v>19.8846875</v>
          </cell>
          <cell r="F113">
            <v>2.23890683393033</v>
          </cell>
        </row>
        <row r="114">
          <cell r="B114">
            <v>259.572883162783</v>
          </cell>
          <cell r="C114">
            <v>194.119511420898</v>
          </cell>
          <cell r="D114">
            <v>157.019202461032</v>
          </cell>
          <cell r="E114">
            <v>19.8533333333333</v>
          </cell>
          <cell r="F114">
            <v>2.24469277031199</v>
          </cell>
        </row>
        <row r="115">
          <cell r="B115">
            <v>261.242982908792</v>
          </cell>
          <cell r="C115">
            <v>194.578094051885</v>
          </cell>
          <cell r="D115">
            <v>157.356432953797</v>
          </cell>
          <cell r="E115">
            <v>19.8219791666667</v>
          </cell>
          <cell r="F115">
            <v>2.25049365910673</v>
          </cell>
        </row>
        <row r="116">
          <cell r="B116">
            <v>262.923828126855</v>
          </cell>
          <cell r="C116">
            <v>195.037760025952</v>
          </cell>
          <cell r="D116">
            <v>157.694387717246</v>
          </cell>
          <cell r="E116">
            <v>19.790625</v>
          </cell>
          <cell r="F116">
            <v>2.25630953895558</v>
          </cell>
        </row>
        <row r="117">
          <cell r="B117">
            <v>264.61548795366</v>
          </cell>
          <cell r="C117">
            <v>195.49851190236</v>
          </cell>
          <cell r="D117">
            <v>158.033068306897</v>
          </cell>
          <cell r="E117">
            <v>19.7592708333333</v>
          </cell>
          <cell r="F117">
            <v>2.26214044859947</v>
          </cell>
        </row>
        <row r="118">
          <cell r="B118">
            <v>266.318031970727</v>
          </cell>
          <cell r="C118">
            <v>195.960352246414</v>
          </cell>
          <cell r="D118">
            <v>158.372476281609</v>
          </cell>
          <cell r="E118">
            <v>19.7279166666667</v>
          </cell>
          <cell r="F118">
            <v>2.26798642687942</v>
          </cell>
        </row>
        <row r="119">
          <cell r="B119">
            <v>267.927902908699</v>
          </cell>
          <cell r="C119">
            <v>196.415326114842</v>
          </cell>
          <cell r="D119">
            <v>158.693481135868</v>
          </cell>
          <cell r="E119">
            <v>19.7182638888889</v>
          </cell>
          <cell r="F119">
            <v>2.27329442304836</v>
          </cell>
        </row>
        <row r="120">
          <cell r="B120">
            <v>269.54750538613</v>
          </cell>
          <cell r="C120">
            <v>196.871356325631</v>
          </cell>
          <cell r="D120">
            <v>159.015136634221</v>
          </cell>
          <cell r="E120">
            <v>19.7086111111111</v>
          </cell>
          <cell r="F120">
            <v>2.27861484205326</v>
          </cell>
        </row>
        <row r="121">
          <cell r="B121">
            <v>271.176898229389</v>
          </cell>
          <cell r="C121">
            <v>197.328445331359</v>
          </cell>
          <cell r="D121">
            <v>159.337444095458</v>
          </cell>
          <cell r="E121">
            <v>19.6989583333333</v>
          </cell>
          <cell r="F121">
            <v>2.28394771296852</v>
          </cell>
        </row>
        <row r="122">
          <cell r="B122">
            <v>272.816140620445</v>
          </cell>
          <cell r="C122">
            <v>197.786595590298</v>
          </cell>
          <cell r="D122">
            <v>159.660404841042</v>
          </cell>
          <cell r="E122">
            <v>19.6893055555556</v>
          </cell>
          <cell r="F122">
            <v>2.2892930649366</v>
          </cell>
        </row>
        <row r="123">
          <cell r="B123">
            <v>274.465292099015</v>
          </cell>
          <cell r="C123">
            <v>198.245809566429</v>
          </cell>
          <cell r="D123">
            <v>159.984020195112</v>
          </cell>
          <cell r="E123">
            <v>19.6796527777778</v>
          </cell>
          <cell r="F123">
            <v>2.29465092716816</v>
          </cell>
        </row>
        <row r="124">
          <cell r="B124">
            <v>276.124412564732</v>
          </cell>
          <cell r="C124">
            <v>198.706089729453</v>
          </cell>
          <cell r="D124">
            <v>160.308291484494</v>
          </cell>
          <cell r="E124">
            <v>19.67</v>
          </cell>
          <cell r="F124">
            <v>2.30002132894223</v>
          </cell>
        </row>
        <row r="125">
          <cell r="B125">
            <v>277.793562279316</v>
          </cell>
          <cell r="C125">
            <v>199.167438554806</v>
          </cell>
          <cell r="D125">
            <v>160.633220038701</v>
          </cell>
          <cell r="E125">
            <v>19.6603472222222</v>
          </cell>
          <cell r="F125">
            <v>2.30540429960635</v>
          </cell>
        </row>
        <row r="126">
          <cell r="B126">
            <v>279.472801868764</v>
          </cell>
          <cell r="C126">
            <v>199.62985852367</v>
          </cell>
          <cell r="D126">
            <v>160.958807189943</v>
          </cell>
          <cell r="E126">
            <v>19.6506944444445</v>
          </cell>
          <cell r="F126">
            <v>2.31079986857675</v>
          </cell>
        </row>
        <row r="127">
          <cell r="B127">
            <v>281.162192325553</v>
          </cell>
          <cell r="C127">
            <v>200.093352122988</v>
          </cell>
          <cell r="D127">
            <v>161.285054273128</v>
          </cell>
          <cell r="E127">
            <v>19.6410416666667</v>
          </cell>
          <cell r="F127">
            <v>2.31620806533853</v>
          </cell>
        </row>
        <row r="128">
          <cell r="B128">
            <v>282.861795010853</v>
          </cell>
          <cell r="C128">
            <v>200.557921845479</v>
          </cell>
          <cell r="D128">
            <v>161.611962625871</v>
          </cell>
          <cell r="E128">
            <v>19.6313888888889</v>
          </cell>
          <cell r="F128">
            <v>2.32162891944576</v>
          </cell>
        </row>
        <row r="129">
          <cell r="B129">
            <v>284.571671656759</v>
          </cell>
          <cell r="C129">
            <v>201.023570189647</v>
          </cell>
          <cell r="D129">
            <v>161.939533588498</v>
          </cell>
          <cell r="E129">
            <v>19.6217361111111</v>
          </cell>
          <cell r="F129">
            <v>2.3270624605217</v>
          </cell>
        </row>
        <row r="130">
          <cell r="B130">
            <v>286.291884368532</v>
          </cell>
          <cell r="C130">
            <v>201.490299659798</v>
          </cell>
          <cell r="D130">
            <v>162.267768504052</v>
          </cell>
          <cell r="E130">
            <v>19.6120833333333</v>
          </cell>
          <cell r="F130">
            <v>2.33250871825894</v>
          </cell>
        </row>
        <row r="131">
          <cell r="B131">
            <v>288.022495626852</v>
          </cell>
          <cell r="C131">
            <v>201.947265641857</v>
          </cell>
          <cell r="D131">
            <v>162.578032230373</v>
          </cell>
          <cell r="E131">
            <v>19.6094097222222</v>
          </cell>
          <cell r="F131">
            <v>2.33788261742251</v>
          </cell>
        </row>
        <row r="132">
          <cell r="B132">
            <v>289.76356829009</v>
          </cell>
          <cell r="C132">
            <v>202.405267990972</v>
          </cell>
          <cell r="D132">
            <v>162.888889195764</v>
          </cell>
          <cell r="E132">
            <v>19.6067361111111</v>
          </cell>
          <cell r="F132">
            <v>2.34326889758685</v>
          </cell>
        </row>
        <row r="133">
          <cell r="B133">
            <v>291.515165596594</v>
          </cell>
          <cell r="C133">
            <v>202.864309057552</v>
          </cell>
          <cell r="D133">
            <v>163.200340534524</v>
          </cell>
          <cell r="E133">
            <v>19.6040625</v>
          </cell>
          <cell r="F133">
            <v>2.34866758727671</v>
          </cell>
        </row>
        <row r="134">
          <cell r="B134">
            <v>293.277351166978</v>
          </cell>
          <cell r="C134">
            <v>203.324391197336</v>
          </cell>
          <cell r="D134">
            <v>163.512387383125</v>
          </cell>
          <cell r="E134">
            <v>19.6013888888889</v>
          </cell>
          <cell r="F134">
            <v>2.35407871508258</v>
          </cell>
        </row>
        <row r="135">
          <cell r="B135">
            <v>295.050189006441</v>
          </cell>
          <cell r="C135">
            <v>203.785516771405</v>
          </cell>
          <cell r="D135">
            <v>163.82503088021</v>
          </cell>
          <cell r="E135">
            <v>19.5987152777778</v>
          </cell>
          <cell r="F135">
            <v>2.35950230966078</v>
          </cell>
        </row>
        <row r="136">
          <cell r="B136">
            <v>296.833743507087</v>
          </cell>
          <cell r="C136">
            <v>204.247688146196</v>
          </cell>
          <cell r="D136">
            <v>164.138272166599</v>
          </cell>
          <cell r="E136">
            <v>19.5960416666667</v>
          </cell>
          <cell r="F136">
            <v>2.36493839973371</v>
          </cell>
        </row>
        <row r="137">
          <cell r="B137">
            <v>298.628079450265</v>
          </cell>
          <cell r="C137">
            <v>204.710907693511</v>
          </cell>
          <cell r="D137">
            <v>164.452112385293</v>
          </cell>
          <cell r="E137">
            <v>19.5933680555555</v>
          </cell>
          <cell r="F137">
            <v>2.3703870140899</v>
          </cell>
        </row>
        <row r="138">
          <cell r="B138">
            <v>300.433262008922</v>
          </cell>
          <cell r="C138">
            <v>205.175177790535</v>
          </cell>
          <cell r="D138">
            <v>164.766552681481</v>
          </cell>
          <cell r="E138">
            <v>19.5906944444444</v>
          </cell>
          <cell r="F138">
            <v>2.37584818158422</v>
          </cell>
        </row>
        <row r="139">
          <cell r="B139">
            <v>302.249356749969</v>
          </cell>
          <cell r="C139">
            <v>205.640500819839</v>
          </cell>
          <cell r="D139">
            <v>165.081594202539</v>
          </cell>
          <cell r="E139">
            <v>19.5880208333333</v>
          </cell>
          <cell r="F139">
            <v>2.38132193113802</v>
          </cell>
        </row>
        <row r="140">
          <cell r="B140">
            <v>304.076429636667</v>
          </cell>
          <cell r="C140">
            <v>206.106879169401</v>
          </cell>
          <cell r="D140">
            <v>165.397238098037</v>
          </cell>
          <cell r="E140">
            <v>19.5853472222222</v>
          </cell>
          <cell r="F140">
            <v>2.38680829173927</v>
          </cell>
        </row>
        <row r="141">
          <cell r="B141">
            <v>305.914547031016</v>
          </cell>
          <cell r="C141">
            <v>206.574315232615</v>
          </cell>
          <cell r="D141">
            <v>165.713485519744</v>
          </cell>
          <cell r="E141">
            <v>19.5826736111111</v>
          </cell>
          <cell r="F141">
            <v>2.39230729244276</v>
          </cell>
        </row>
        <row r="142">
          <cell r="B142">
            <v>307.763775696172</v>
          </cell>
          <cell r="C142">
            <v>207.0428114083</v>
          </cell>
          <cell r="D142">
            <v>166.030337621631</v>
          </cell>
          <cell r="E142">
            <v>19.58</v>
          </cell>
          <cell r="F142">
            <v>2.39781896237018</v>
          </cell>
        </row>
        <row r="143">
          <cell r="B143">
            <v>309.624182798865</v>
          </cell>
          <cell r="C143">
            <v>207.501638963156</v>
          </cell>
          <cell r="D143">
            <v>166.327459636305</v>
          </cell>
          <cell r="E143">
            <v>19.605</v>
          </cell>
          <cell r="F143">
            <v>2.40318207825579</v>
          </cell>
        </row>
        <row r="144">
          <cell r="B144">
            <v>311.495835911847</v>
          </cell>
          <cell r="C144">
            <v>207.961483325712</v>
          </cell>
          <cell r="D144">
            <v>166.625113370018</v>
          </cell>
          <cell r="E144">
            <v>19.63</v>
          </cell>
          <cell r="F144">
            <v>2.40855718963083</v>
          </cell>
        </row>
        <row r="145">
          <cell r="B145">
            <v>313.378803016338</v>
          </cell>
          <cell r="C145">
            <v>208.422346749317</v>
          </cell>
          <cell r="D145">
            <v>166.923299774316</v>
          </cell>
          <cell r="E145">
            <v>19.655</v>
          </cell>
          <cell r="F145">
            <v>2.41394432332517</v>
          </cell>
        </row>
        <row r="146">
          <cell r="B146">
            <v>315.273152504501</v>
          </cell>
          <cell r="C146">
            <v>208.884231492312</v>
          </cell>
          <cell r="D146">
            <v>167.222019802447</v>
          </cell>
          <cell r="E146">
            <v>19.68</v>
          </cell>
          <cell r="F146">
            <v>2.41934350622871</v>
          </cell>
        </row>
        <row r="147">
          <cell r="B147">
            <v>317.178953181924</v>
          </cell>
          <cell r="C147">
            <v>209.347139818042</v>
          </cell>
          <cell r="D147">
            <v>167.521274409365</v>
          </cell>
          <cell r="E147">
            <v>19.705</v>
          </cell>
          <cell r="F147">
            <v>2.42475476529148</v>
          </cell>
        </row>
        <row r="148">
          <cell r="B148">
            <v>319.096274270119</v>
          </cell>
          <cell r="C148">
            <v>209.811073994869</v>
          </cell>
          <cell r="D148">
            <v>167.821064551734</v>
          </cell>
          <cell r="E148">
            <v>19.73</v>
          </cell>
          <cell r="F148">
            <v>2.4301781275238</v>
          </cell>
        </row>
        <row r="149">
          <cell r="B149">
            <v>321.025185409035</v>
          </cell>
          <cell r="C149">
            <v>210.276036296182</v>
          </cell>
          <cell r="D149">
            <v>168.12139118793</v>
          </cell>
          <cell r="E149">
            <v>19.755</v>
          </cell>
          <cell r="F149">
            <v>2.43561361999639</v>
          </cell>
        </row>
        <row r="150">
          <cell r="B150">
            <v>322.965756659591</v>
          </cell>
          <cell r="C150">
            <v>210.742029000406</v>
          </cell>
          <cell r="D150">
            <v>168.422255278042</v>
          </cell>
          <cell r="E150">
            <v>19.78</v>
          </cell>
          <cell r="F150">
            <v>2.44106126984052</v>
          </cell>
        </row>
        <row r="151">
          <cell r="B151">
            <v>324.918058506217</v>
          </cell>
          <cell r="C151">
            <v>211.209054391019</v>
          </cell>
          <cell r="D151">
            <v>168.723657783878</v>
          </cell>
          <cell r="E151">
            <v>19.805</v>
          </cell>
          <cell r="F151">
            <v>2.44652110424816</v>
          </cell>
        </row>
        <row r="152">
          <cell r="B152">
            <v>326.882161859417</v>
          </cell>
          <cell r="C152">
            <v>211.677114756556</v>
          </cell>
          <cell r="D152">
            <v>169.02559966897</v>
          </cell>
          <cell r="E152">
            <v>19.83</v>
          </cell>
          <cell r="F152">
            <v>2.45199315047208</v>
          </cell>
        </row>
        <row r="153">
          <cell r="B153">
            <v>328.858138058343</v>
          </cell>
          <cell r="C153">
            <v>212.146212390625</v>
          </cell>
          <cell r="D153">
            <v>169.32808189857</v>
          </cell>
          <cell r="E153">
            <v>19.855</v>
          </cell>
          <cell r="F153">
            <v>2.45747743582601</v>
          </cell>
        </row>
        <row r="154">
          <cell r="B154">
            <v>330.846058873385</v>
          </cell>
          <cell r="C154">
            <v>212.616349591916</v>
          </cell>
          <cell r="D154">
            <v>169.63110543966</v>
          </cell>
          <cell r="E154">
            <v>19.88</v>
          </cell>
          <cell r="F154">
            <v>2.46297398768479</v>
          </cell>
        </row>
        <row r="155">
          <cell r="B155">
            <v>332.84599650878</v>
          </cell>
          <cell r="C155">
            <v>213.078880911827</v>
          </cell>
          <cell r="D155">
            <v>169.917625547035</v>
          </cell>
          <cell r="E155">
            <v>19.9320833333333</v>
          </cell>
          <cell r="F155">
            <v>2.4681826378384</v>
          </cell>
        </row>
        <row r="156">
          <cell r="B156">
            <v>334.858023605236</v>
          </cell>
          <cell r="C156">
            <v>213.542418434801</v>
          </cell>
          <cell r="D156">
            <v>170.204629609117</v>
          </cell>
          <cell r="E156">
            <v>19.9841666666667</v>
          </cell>
          <cell r="F156">
            <v>2.47340230314547</v>
          </cell>
        </row>
        <row r="157">
          <cell r="B157">
            <v>336.882213242564</v>
          </cell>
          <cell r="C157">
            <v>214.006964349756</v>
          </cell>
          <cell r="D157">
            <v>170.492118443343</v>
          </cell>
          <cell r="E157">
            <v>20.03625</v>
          </cell>
          <cell r="F157">
            <v>2.47863300690063</v>
          </cell>
        </row>
        <row r="158">
          <cell r="B158">
            <v>338.918638942339</v>
          </cell>
          <cell r="C158">
            <v>214.472520850378</v>
          </cell>
          <cell r="D158">
            <v>170.780092868531</v>
          </cell>
          <cell r="E158">
            <v>20.0883333333333</v>
          </cell>
          <cell r="F158">
            <v>2.48387477244777</v>
          </cell>
        </row>
        <row r="159">
          <cell r="B159">
            <v>340.967374670569</v>
          </cell>
          <cell r="C159">
            <v>214.93909013512</v>
          </cell>
          <cell r="D159">
            <v>171.068553704882</v>
          </cell>
          <cell r="E159">
            <v>20.1404166666667</v>
          </cell>
          <cell r="F159">
            <v>2.48912762318016</v>
          </cell>
        </row>
        <row r="160">
          <cell r="B160">
            <v>343.028494840378</v>
          </cell>
          <cell r="C160">
            <v>215.406674407222</v>
          </cell>
          <cell r="D160">
            <v>171.357501773981</v>
          </cell>
          <cell r="E160">
            <v>20.1925</v>
          </cell>
          <cell r="F160">
            <v>2.49439158254055</v>
          </cell>
        </row>
        <row r="161">
          <cell r="B161">
            <v>345.102074314712</v>
          </cell>
          <cell r="C161">
            <v>215.875275874712</v>
          </cell>
          <cell r="D161">
            <v>171.646937898804</v>
          </cell>
          <cell r="E161">
            <v>20.2445833333333</v>
          </cell>
          <cell r="F161">
            <v>2.49966667402123</v>
          </cell>
        </row>
        <row r="162">
          <cell r="B162">
            <v>347.18818840906</v>
          </cell>
          <cell r="C162">
            <v>216.344896750427</v>
          </cell>
          <cell r="D162">
            <v>171.936862903713</v>
          </cell>
          <cell r="E162">
            <v>20.2966666666667</v>
          </cell>
          <cell r="F162">
            <v>2.50495292116421</v>
          </cell>
        </row>
        <row r="163">
          <cell r="B163">
            <v>349.286912894183</v>
          </cell>
          <cell r="C163">
            <v>216.815539252013</v>
          </cell>
          <cell r="D163">
            <v>172.227277614466</v>
          </cell>
          <cell r="E163">
            <v>20.34875</v>
          </cell>
          <cell r="F163">
            <v>2.51025034756126</v>
          </cell>
        </row>
        <row r="164">
          <cell r="B164">
            <v>351.398323998873</v>
          </cell>
          <cell r="C164">
            <v>217.287205601944</v>
          </cell>
          <cell r="D164">
            <v>172.518182858213</v>
          </cell>
          <cell r="E164">
            <v>20.4008333333333</v>
          </cell>
          <cell r="F164">
            <v>2.51555897685407</v>
          </cell>
        </row>
        <row r="165">
          <cell r="B165">
            <v>353.522498412718</v>
          </cell>
          <cell r="C165">
            <v>217.759898027525</v>
          </cell>
          <cell r="D165">
            <v>172.809579463502</v>
          </cell>
          <cell r="E165">
            <v>20.4529166666667</v>
          </cell>
          <cell r="F165">
            <v>2.52087883273429</v>
          </cell>
        </row>
        <row r="166">
          <cell r="B166">
            <v>355.659513288888</v>
          </cell>
          <cell r="C166">
            <v>218.233618760911</v>
          </cell>
          <cell r="D166">
            <v>173.101468260283</v>
          </cell>
          <cell r="E166">
            <v>20.505</v>
          </cell>
          <cell r="F166">
            <v>2.52620993894371</v>
          </cell>
        </row>
        <row r="167">
          <cell r="B167">
            <v>357.726128124347</v>
          </cell>
          <cell r="C167">
            <v>218.700452127379</v>
          </cell>
          <cell r="D167">
            <v>173.38121940357</v>
          </cell>
          <cell r="E167">
            <v>20.555</v>
          </cell>
          <cell r="F167">
            <v>2.53141351780118</v>
          </cell>
        </row>
        <row r="168">
          <cell r="B168">
            <v>359.80475134625</v>
          </cell>
          <cell r="C168">
            <v>219.168284118134</v>
          </cell>
          <cell r="D168">
            <v>173.661422655686</v>
          </cell>
          <cell r="E168">
            <v>20.605</v>
          </cell>
          <cell r="F168">
            <v>2.53662781517912</v>
          </cell>
        </row>
        <row r="169">
          <cell r="B169">
            <v>361.895452731191</v>
          </cell>
          <cell r="C169">
            <v>219.637116869379</v>
          </cell>
          <cell r="D169">
            <v>173.94207874729</v>
          </cell>
          <cell r="E169">
            <v>20.655</v>
          </cell>
          <cell r="F169">
            <v>2.54185285315591</v>
          </cell>
        </row>
        <row r="170">
          <cell r="B170">
            <v>363.998302461213</v>
          </cell>
          <cell r="C170">
            <v>220.106952521885</v>
          </cell>
          <cell r="D170">
            <v>174.223188410219</v>
          </cell>
          <cell r="E170">
            <v>20.705</v>
          </cell>
          <cell r="F170">
            <v>2.54708865385545</v>
          </cell>
        </row>
        <row r="171">
          <cell r="B171">
            <v>366.113371126161</v>
          </cell>
          <cell r="C171">
            <v>220.577793221005</v>
          </cell>
          <cell r="D171">
            <v>174.504752377496</v>
          </cell>
          <cell r="E171">
            <v>20.755</v>
          </cell>
          <cell r="F171">
            <v>2.55233523944716</v>
          </cell>
        </row>
        <row r="172">
          <cell r="B172">
            <v>368.240729726054</v>
          </cell>
          <cell r="C172">
            <v>221.049641116678</v>
          </cell>
          <cell r="D172">
            <v>174.786771383327</v>
          </cell>
          <cell r="E172">
            <v>20.805</v>
          </cell>
          <cell r="F172">
            <v>2.55759263214617</v>
          </cell>
        </row>
        <row r="173">
          <cell r="B173">
            <v>370.380449673469</v>
          </cell>
          <cell r="C173">
            <v>221.522498363443</v>
          </cell>
          <cell r="D173">
            <v>175.069246163104</v>
          </cell>
          <cell r="E173">
            <v>20.855</v>
          </cell>
          <cell r="F173">
            <v>2.56286085421335</v>
          </cell>
        </row>
        <row r="174">
          <cell r="B174">
            <v>372.532602795934</v>
          </cell>
          <cell r="C174">
            <v>221.99636712045</v>
          </cell>
          <cell r="D174">
            <v>175.352177453409</v>
          </cell>
          <cell r="E174">
            <v>20.905</v>
          </cell>
          <cell r="F174">
            <v>2.56813992795542</v>
          </cell>
        </row>
        <row r="175">
          <cell r="B175">
            <v>374.697261338343</v>
          </cell>
          <cell r="C175">
            <v>222.471249551465</v>
          </cell>
          <cell r="D175">
            <v>175.635565992013</v>
          </cell>
          <cell r="E175">
            <v>20.955</v>
          </cell>
          <cell r="F175">
            <v>2.57342987572505</v>
          </cell>
        </row>
        <row r="176">
          <cell r="B176">
            <v>376.874497965382</v>
          </cell>
          <cell r="C176">
            <v>222.947147824885</v>
          </cell>
          <cell r="D176">
            <v>175.91941251788</v>
          </cell>
          <cell r="E176">
            <v>21.005</v>
          </cell>
          <cell r="F176">
            <v>2.57873071992097</v>
          </cell>
        </row>
        <row r="177">
          <cell r="B177">
            <v>379.064385763965</v>
          </cell>
          <cell r="C177">
            <v>223.424064113743</v>
          </cell>
          <cell r="D177">
            <v>176.203717771168</v>
          </cell>
          <cell r="E177">
            <v>21.055</v>
          </cell>
          <cell r="F177">
            <v>2.58404248298802</v>
          </cell>
        </row>
        <row r="178">
          <cell r="B178">
            <v>381.266998245689</v>
          </cell>
          <cell r="C178">
            <v>223.902000595721</v>
          </cell>
          <cell r="D178">
            <v>176.488482493231</v>
          </cell>
          <cell r="E178">
            <v>21.105</v>
          </cell>
          <cell r="F178">
            <v>2.58936518741729</v>
          </cell>
        </row>
        <row r="179">
          <cell r="B179">
            <v>383.4824093493</v>
          </cell>
          <cell r="C179">
            <v>224.373668201941</v>
          </cell>
          <cell r="D179">
            <v>176.759010996359</v>
          </cell>
          <cell r="E179">
            <v>21.155</v>
          </cell>
          <cell r="F179">
            <v>2.59440828709463</v>
          </cell>
        </row>
        <row r="180">
          <cell r="B180">
            <v>385.71069344318</v>
          </cell>
          <cell r="C180">
            <v>224.846329413979</v>
          </cell>
          <cell r="D180">
            <v>177.02995417624</v>
          </cell>
          <cell r="E180">
            <v>21.205</v>
          </cell>
          <cell r="F180">
            <v>2.59946120881426</v>
          </cell>
        </row>
        <row r="181">
          <cell r="B181">
            <v>387.951925327837</v>
          </cell>
          <cell r="C181">
            <v>225.319986324948</v>
          </cell>
          <cell r="D181">
            <v>177.301312668508</v>
          </cell>
          <cell r="E181">
            <v>21.255</v>
          </cell>
          <cell r="F181">
            <v>2.60452397170578</v>
          </cell>
        </row>
        <row r="182">
          <cell r="B182">
            <v>390.20618023842</v>
          </cell>
          <cell r="C182">
            <v>225.794641032367</v>
          </cell>
          <cell r="D182">
            <v>177.57308710977</v>
          </cell>
          <cell r="E182">
            <v>21.305</v>
          </cell>
          <cell r="F182">
            <v>2.60959659493605</v>
          </cell>
        </row>
        <row r="183">
          <cell r="B183">
            <v>392.473533847245</v>
          </cell>
          <cell r="C183">
            <v>226.270295638174</v>
          </cell>
          <cell r="D183">
            <v>177.845278137609</v>
          </cell>
          <cell r="E183">
            <v>21.355</v>
          </cell>
          <cell r="F183">
            <v>2.61467909770927</v>
          </cell>
        </row>
        <row r="184">
          <cell r="B184">
            <v>394.754062266331</v>
          </cell>
          <cell r="C184">
            <v>226.746952248737</v>
          </cell>
          <cell r="D184">
            <v>178.117886390586</v>
          </cell>
          <cell r="E184">
            <v>21.405</v>
          </cell>
          <cell r="F184">
            <v>2.61977149926703</v>
          </cell>
        </row>
        <row r="185">
          <cell r="B185">
            <v>397.047842049959</v>
          </cell>
          <cell r="C185">
            <v>227.224612974859</v>
          </cell>
          <cell r="D185">
            <v>178.390912508238</v>
          </cell>
          <cell r="E185">
            <v>21.455</v>
          </cell>
          <cell r="F185">
            <v>2.62487381888841</v>
          </cell>
        </row>
        <row r="186">
          <cell r="B186">
            <v>399.354950197241</v>
          </cell>
          <cell r="C186">
            <v>227.70327993179</v>
          </cell>
          <cell r="D186">
            <v>178.664357131087</v>
          </cell>
          <cell r="E186">
            <v>21.505</v>
          </cell>
          <cell r="F186">
            <v>2.62998607589002</v>
          </cell>
        </row>
        <row r="187">
          <cell r="B187">
            <v>401.675464154704</v>
          </cell>
          <cell r="C187">
            <v>228.182955239237</v>
          </cell>
          <cell r="D187">
            <v>178.938220900632</v>
          </cell>
          <cell r="E187">
            <v>21.555</v>
          </cell>
          <cell r="F187">
            <v>2.63510828962611</v>
          </cell>
        </row>
        <row r="188">
          <cell r="B188">
            <v>404.00946181889</v>
          </cell>
          <cell r="C188">
            <v>228.663641021371</v>
          </cell>
          <cell r="D188">
            <v>179.212504459359</v>
          </cell>
          <cell r="E188">
            <v>21.605</v>
          </cell>
          <cell r="F188">
            <v>2.64024047948862</v>
          </cell>
        </row>
        <row r="189">
          <cell r="B189">
            <v>406.357021538971</v>
          </cell>
          <cell r="C189">
            <v>229.145339406839</v>
          </cell>
          <cell r="D189">
            <v>179.487208450737</v>
          </cell>
          <cell r="E189">
            <v>21.655</v>
          </cell>
          <cell r="F189">
            <v>2.64538266490724</v>
          </cell>
        </row>
        <row r="190">
          <cell r="B190">
            <v>408.718222119378</v>
          </cell>
          <cell r="C190">
            <v>229.62805252877</v>
          </cell>
          <cell r="D190">
            <v>179.762333519222</v>
          </cell>
          <cell r="E190">
            <v>21.705</v>
          </cell>
          <cell r="F190">
            <v>2.65053486534952</v>
          </cell>
        </row>
        <row r="191">
          <cell r="B191">
            <v>411.09314282245</v>
          </cell>
          <cell r="C191">
            <v>230.106328427722</v>
          </cell>
          <cell r="D191">
            <v>180.020993707922</v>
          </cell>
          <cell r="E191">
            <v>21.755</v>
          </cell>
          <cell r="F191">
            <v>2.65513335215341</v>
          </cell>
        </row>
        <row r="192">
          <cell r="B192">
            <v>413.481863371089</v>
          </cell>
          <cell r="C192">
            <v>230.585600493445</v>
          </cell>
          <cell r="D192">
            <v>180.280026083008</v>
          </cell>
          <cell r="E192">
            <v>21.805</v>
          </cell>
          <cell r="F192">
            <v>2.6597398170002</v>
          </cell>
        </row>
        <row r="193">
          <cell r="B193">
            <v>415.884463951441</v>
          </cell>
          <cell r="C193">
            <v>231.065870800783</v>
          </cell>
          <cell r="D193">
            <v>180.539431180018</v>
          </cell>
          <cell r="E193">
            <v>21.855</v>
          </cell>
          <cell r="F193">
            <v>2.66435427373123</v>
          </cell>
        </row>
        <row r="194">
          <cell r="B194">
            <v>418.301025215587</v>
          </cell>
          <cell r="C194">
            <v>231.547141428902</v>
          </cell>
          <cell r="D194">
            <v>180.799209535264</v>
          </cell>
          <cell r="E194">
            <v>21.905</v>
          </cell>
          <cell r="F194">
            <v>2.66897673621184</v>
          </cell>
        </row>
        <row r="195">
          <cell r="B195">
            <v>420.731628284247</v>
          </cell>
          <cell r="C195">
            <v>232.0294144613</v>
          </cell>
          <cell r="D195">
            <v>181.059361685827</v>
          </cell>
          <cell r="E195">
            <v>21.955</v>
          </cell>
          <cell r="F195">
            <v>2.67360721833143</v>
          </cell>
        </row>
        <row r="196">
          <cell r="B196">
            <v>423.176354749506</v>
          </cell>
          <cell r="C196">
            <v>232.512691985813</v>
          </cell>
          <cell r="D196">
            <v>181.319888169561</v>
          </cell>
          <cell r="E196">
            <v>22.005</v>
          </cell>
          <cell r="F196">
            <v>2.67824573400349</v>
          </cell>
        </row>
        <row r="197">
          <cell r="B197">
            <v>425.635286677556</v>
          </cell>
          <cell r="C197">
            <v>232.996976094626</v>
          </cell>
          <cell r="D197">
            <v>181.580789525094</v>
          </cell>
          <cell r="E197">
            <v>22.055</v>
          </cell>
          <cell r="F197">
            <v>2.68289229716566</v>
          </cell>
        </row>
        <row r="198">
          <cell r="B198">
            <v>428.108506611442</v>
          </cell>
          <cell r="C198">
            <v>233.482268884281</v>
          </cell>
          <cell r="D198">
            <v>181.84206629183</v>
          </cell>
          <cell r="E198">
            <v>22.105</v>
          </cell>
          <cell r="F198">
            <v>2.68754692177975</v>
          </cell>
        </row>
        <row r="199">
          <cell r="B199">
            <v>430.596097573843</v>
          </cell>
          <cell r="C199">
            <v>233.968572455688</v>
          </cell>
          <cell r="D199">
            <v>182.103719009948</v>
          </cell>
          <cell r="E199">
            <v>22.155</v>
          </cell>
          <cell r="F199">
            <v>2.6922096218318</v>
          </cell>
        </row>
        <row r="200">
          <cell r="B200">
            <v>433.09814306985</v>
          </cell>
          <cell r="C200">
            <v>234.455888914132</v>
          </cell>
          <cell r="D200">
            <v>182.365748220406</v>
          </cell>
          <cell r="E200">
            <v>22.205</v>
          </cell>
          <cell r="F200">
            <v>2.69688041133211</v>
          </cell>
        </row>
        <row r="201">
          <cell r="B201">
            <v>435.614727089777</v>
          </cell>
          <cell r="C201">
            <v>234.944220369284</v>
          </cell>
          <cell r="D201">
            <v>182.628154464937</v>
          </cell>
          <cell r="E201">
            <v>22.255</v>
          </cell>
          <cell r="F201">
            <v>2.70155930431529</v>
          </cell>
        </row>
        <row r="202">
          <cell r="B202">
            <v>438.145934111974</v>
          </cell>
          <cell r="C202">
            <v>235.433568935207</v>
          </cell>
          <cell r="D202">
            <v>182.890938286058</v>
          </cell>
          <cell r="E202">
            <v>22.305</v>
          </cell>
          <cell r="F202">
            <v>2.70624631484031</v>
          </cell>
        </row>
        <row r="203">
          <cell r="B203">
            <v>440.691849105666</v>
          </cell>
          <cell r="C203">
            <v>235.920101317146</v>
          </cell>
          <cell r="D203">
            <v>183.139217085792</v>
          </cell>
          <cell r="E203">
            <v>22.355</v>
          </cell>
          <cell r="F203">
            <v>2.71071337566439</v>
          </cell>
        </row>
        <row r="204">
          <cell r="B204">
            <v>443.252557533807</v>
          </cell>
          <cell r="C204">
            <v>236.407639136668</v>
          </cell>
          <cell r="D204">
            <v>183.387832929903</v>
          </cell>
          <cell r="E204">
            <v>22.405</v>
          </cell>
          <cell r="F204">
            <v>2.71518781003473</v>
          </cell>
        </row>
        <row r="205">
          <cell r="B205">
            <v>445.828145355945</v>
          </cell>
          <cell r="C205">
            <v>236.896184471549</v>
          </cell>
          <cell r="D205">
            <v>183.636786275936</v>
          </cell>
          <cell r="E205">
            <v>22.455</v>
          </cell>
          <cell r="F205">
            <v>2.71966963012247</v>
          </cell>
        </row>
        <row r="206">
          <cell r="B206">
            <v>448.418699031109</v>
          </cell>
          <cell r="C206">
            <v>237.385739403857</v>
          </cell>
          <cell r="D206">
            <v>183.88607758206</v>
          </cell>
          <cell r="E206">
            <v>22.505</v>
          </cell>
          <cell r="F206">
            <v>2.72415884811883</v>
          </cell>
        </row>
        <row r="207">
          <cell r="B207">
            <v>451.024305520712</v>
          </cell>
          <cell r="C207">
            <v>237.876306019964</v>
          </cell>
          <cell r="D207">
            <v>184.135707307062</v>
          </cell>
          <cell r="E207">
            <v>22.555</v>
          </cell>
          <cell r="F207">
            <v>2.72865547623515</v>
          </cell>
        </row>
        <row r="208">
          <cell r="B208">
            <v>453.645052291471</v>
          </cell>
          <cell r="C208">
            <v>238.367886410552</v>
          </cell>
          <cell r="D208">
            <v>184.385675910355</v>
          </cell>
          <cell r="E208">
            <v>22.605</v>
          </cell>
          <cell r="F208">
            <v>2.73315952670294</v>
          </cell>
        </row>
        <row r="209">
          <cell r="B209">
            <v>456.28102731834</v>
          </cell>
          <cell r="C209">
            <v>238.860482670624</v>
          </cell>
          <cell r="D209">
            <v>184.635983851974</v>
          </cell>
          <cell r="E209">
            <v>22.655</v>
          </cell>
          <cell r="F209">
            <v>2.73767101177388</v>
          </cell>
        </row>
        <row r="210">
          <cell r="B210">
            <v>458.932319087466</v>
          </cell>
          <cell r="C210">
            <v>239.354096899514</v>
          </cell>
          <cell r="D210">
            <v>184.886631592578</v>
          </cell>
          <cell r="E210">
            <v>22.705</v>
          </cell>
          <cell r="F210">
            <v>2.7421899437199</v>
          </cell>
        </row>
        <row r="211">
          <cell r="B211">
            <v>461.59901659916</v>
          </cell>
          <cell r="C211">
            <v>239.848731200893</v>
          </cell>
          <cell r="D211">
            <v>185.137619593453</v>
          </cell>
          <cell r="E211">
            <v>22.755</v>
          </cell>
          <cell r="F211">
            <v>2.74671633483315</v>
          </cell>
        </row>
        <row r="212">
          <cell r="B212">
            <v>464.28120937088</v>
          </cell>
          <cell r="C212">
            <v>240.344387682778</v>
          </cell>
          <cell r="D212">
            <v>185.38894831651</v>
          </cell>
          <cell r="E212">
            <v>22.805</v>
          </cell>
          <cell r="F212">
            <v>2.75125019742612</v>
          </cell>
        </row>
        <row r="213">
          <cell r="B213">
            <v>466.978987440241</v>
          </cell>
          <cell r="C213">
            <v>240.841068457545</v>
          </cell>
          <cell r="D213">
            <v>185.640618224288</v>
          </cell>
          <cell r="E213">
            <v>22.855</v>
          </cell>
          <cell r="F213">
            <v>2.75579154383157</v>
          </cell>
        </row>
        <row r="214">
          <cell r="B214">
            <v>469.692441368036</v>
          </cell>
          <cell r="C214">
            <v>241.338775641934</v>
          </cell>
          <cell r="D214">
            <v>185.892629779954</v>
          </cell>
          <cell r="E214">
            <v>22.905</v>
          </cell>
          <cell r="F214">
            <v>2.76034038640265</v>
          </cell>
        </row>
        <row r="215">
          <cell r="B215">
            <v>472.348150718896</v>
          </cell>
          <cell r="C215">
            <v>241.838903844445</v>
          </cell>
          <cell r="D215">
            <v>186.134551819489</v>
          </cell>
          <cell r="E215">
            <v>22.955</v>
          </cell>
          <cell r="F215">
            <v>2.76492823407979</v>
          </cell>
        </row>
        <row r="216">
          <cell r="B216">
            <v>475.018875836533</v>
          </cell>
          <cell r="C216">
            <v>242.34006846648</v>
          </cell>
          <cell r="D216">
            <v>186.376788698151</v>
          </cell>
          <cell r="E216">
            <v>23.005</v>
          </cell>
          <cell r="F216">
            <v>2.76952370702894</v>
          </cell>
        </row>
        <row r="217">
          <cell r="B217">
            <v>477.704701622274</v>
          </cell>
          <cell r="C217">
            <v>242.84227165582</v>
          </cell>
          <cell r="D217">
            <v>186.619340825674</v>
          </cell>
          <cell r="E217">
            <v>23.055</v>
          </cell>
          <cell r="F217">
            <v>2.77412681792376</v>
          </cell>
        </row>
        <row r="218">
          <cell r="B218">
            <v>480.405713457494</v>
          </cell>
          <cell r="C218">
            <v>243.345515564694</v>
          </cell>
          <cell r="D218">
            <v>186.862208612325</v>
          </cell>
          <cell r="E218">
            <v>23.105</v>
          </cell>
          <cell r="F218">
            <v>2.77873757945897</v>
          </cell>
        </row>
        <row r="219">
          <cell r="B219">
            <v>483.121997206323</v>
          </cell>
          <cell r="C219">
            <v>243.849802349795</v>
          </cell>
          <cell r="D219">
            <v>187.105392468904</v>
          </cell>
          <cell r="E219">
            <v>23.155</v>
          </cell>
          <cell r="F219">
            <v>2.78335600435036</v>
          </cell>
        </row>
        <row r="220">
          <cell r="B220">
            <v>485.853639218381</v>
          </cell>
          <cell r="C220">
            <v>244.355134172282</v>
          </cell>
          <cell r="D220">
            <v>187.348892806748</v>
          </cell>
          <cell r="E220">
            <v>23.205</v>
          </cell>
          <cell r="F220">
            <v>2.7879821053349</v>
          </cell>
        </row>
        <row r="221">
          <cell r="B221">
            <v>488.600726331521</v>
          </cell>
          <cell r="C221">
            <v>244.861513197794</v>
          </cell>
          <cell r="D221">
            <v>187.592710037728</v>
          </cell>
          <cell r="E221">
            <v>23.2550000000001</v>
          </cell>
          <cell r="F221">
            <v>2.7926158951707</v>
          </cell>
        </row>
        <row r="222">
          <cell r="B222">
            <v>491.363345874592</v>
          </cell>
          <cell r="C222">
            <v>245.368941596459</v>
          </cell>
          <cell r="D222">
            <v>187.836844574251</v>
          </cell>
          <cell r="E222">
            <v>23.3050000000001</v>
          </cell>
          <cell r="F222">
            <v>2.79725738663708</v>
          </cell>
        </row>
        <row r="223">
          <cell r="B223">
            <v>494.141585670208</v>
          </cell>
          <cell r="C223">
            <v>245.877421542901</v>
          </cell>
          <cell r="D223">
            <v>188.08129682926</v>
          </cell>
          <cell r="E223">
            <v>23.3550000000001</v>
          </cell>
          <cell r="F223">
            <v>2.8019065925346</v>
          </cell>
        </row>
        <row r="224">
          <cell r="B224">
            <v>496.935534037551</v>
          </cell>
          <cell r="C224">
            <v>246.38695521625</v>
          </cell>
          <cell r="D224">
            <v>188.326067216237</v>
          </cell>
          <cell r="E224">
            <v>23.4050000000001</v>
          </cell>
          <cell r="F224">
            <v>2.80656352568511</v>
          </cell>
        </row>
        <row r="225">
          <cell r="B225">
            <v>499.745279795167</v>
          </cell>
          <cell r="C225">
            <v>246.897544800153</v>
          </cell>
          <cell r="D225">
            <v>188.571156149201</v>
          </cell>
          <cell r="E225">
            <v>23.4550000000001</v>
          </cell>
          <cell r="F225">
            <v>2.81122819893174</v>
          </cell>
        </row>
        <row r="226">
          <cell r="B226">
            <v>502.570912263798</v>
          </cell>
          <cell r="C226">
            <v>247.40919248278</v>
          </cell>
          <cell r="D226">
            <v>188.816564042711</v>
          </cell>
          <cell r="E226">
            <v>23.5050000000001</v>
          </cell>
          <cell r="F226">
            <v>2.81590062513899</v>
          </cell>
        </row>
        <row r="227">
          <cell r="B227">
            <v>505.412521269219</v>
          </cell>
          <cell r="C227">
            <v>247.929036811111</v>
          </cell>
          <cell r="D227">
            <v>189.060417070838</v>
          </cell>
          <cell r="E227">
            <v>23.5550000000001</v>
          </cell>
          <cell r="F227">
            <v>2.82055022749078</v>
          </cell>
        </row>
        <row r="228">
          <cell r="B228">
            <v>508.27019714509</v>
          </cell>
          <cell r="C228">
            <v>248.44997341141</v>
          </cell>
          <cell r="D228">
            <v>189.304585030547</v>
          </cell>
          <cell r="E228">
            <v>23.6050000000001</v>
          </cell>
          <cell r="F228">
            <v>2.82520750724491</v>
          </cell>
        </row>
        <row r="229">
          <cell r="B229">
            <v>511.144030735834</v>
          </cell>
          <cell r="C229">
            <v>248.972004578708</v>
          </cell>
          <cell r="D229">
            <v>189.549068328567</v>
          </cell>
          <cell r="E229">
            <v>23.6550000000001</v>
          </cell>
          <cell r="F229">
            <v>2.82987247707826</v>
          </cell>
        </row>
        <row r="230">
          <cell r="B230">
            <v>514.034113399518</v>
          </cell>
          <cell r="C230">
            <v>249.495132612855</v>
          </cell>
          <cell r="D230">
            <v>189.793867372152</v>
          </cell>
          <cell r="E230">
            <v>23.7050000000001</v>
          </cell>
          <cell r="F230">
            <v>2.83454514968866</v>
          </cell>
        </row>
        <row r="231">
          <cell r="B231">
            <v>516.940537010765</v>
          </cell>
          <cell r="C231">
            <v>250.019359818535</v>
          </cell>
          <cell r="D231">
            <v>190.03898256908</v>
          </cell>
          <cell r="E231">
            <v>23.7550000000001</v>
          </cell>
          <cell r="F231">
            <v>2.8392255377949</v>
          </cell>
        </row>
        <row r="232">
          <cell r="B232">
            <v>519.863393963667</v>
          </cell>
          <cell r="C232">
            <v>250.544688505276</v>
          </cell>
          <cell r="D232">
            <v>190.284414327658</v>
          </cell>
          <cell r="E232">
            <v>23.8050000000001</v>
          </cell>
          <cell r="F232">
            <v>2.84391365413677</v>
          </cell>
        </row>
        <row r="233">
          <cell r="B233">
            <v>522.802777174728</v>
          </cell>
          <cell r="C233">
            <v>251.071120987456</v>
          </cell>
          <cell r="D233">
            <v>190.530163056719</v>
          </cell>
          <cell r="E233">
            <v>23.8550000000001</v>
          </cell>
          <cell r="F233">
            <v>2.8486095114751</v>
          </cell>
        </row>
        <row r="234">
          <cell r="B234">
            <v>525.758780085813</v>
          </cell>
          <cell r="C234">
            <v>251.598659584318</v>
          </cell>
          <cell r="D234">
            <v>190.776229165624</v>
          </cell>
          <cell r="E234">
            <v>23.9050000000001</v>
          </cell>
          <cell r="F234">
            <v>2.85331312259178</v>
          </cell>
        </row>
        <row r="235">
          <cell r="B235">
            <v>528.731496667123</v>
          </cell>
          <cell r="C235">
            <v>252.127306619976</v>
          </cell>
          <cell r="D235">
            <v>191.022613064265</v>
          </cell>
          <cell r="E235">
            <v>23.9550000000001</v>
          </cell>
          <cell r="F235">
            <v>2.85802450028983</v>
          </cell>
        </row>
        <row r="236">
          <cell r="B236">
            <v>531.721021420179</v>
          </cell>
          <cell r="C236">
            <v>252.657064423429</v>
          </cell>
          <cell r="D236">
            <v>191.269315163059</v>
          </cell>
          <cell r="E236">
            <v>24.0050000000001</v>
          </cell>
          <cell r="F236">
            <v>2.86274365739339</v>
          </cell>
        </row>
        <row r="237">
          <cell r="B237">
            <v>534.727449380829</v>
          </cell>
          <cell r="C237">
            <v>253.187935328568</v>
          </cell>
          <cell r="D237">
            <v>191.516335872956</v>
          </cell>
          <cell r="E237">
            <v>24.0550000000001</v>
          </cell>
          <cell r="F237">
            <v>2.86747060674777</v>
          </cell>
        </row>
        <row r="238">
          <cell r="B238">
            <v>537.750876122264</v>
          </cell>
          <cell r="C238">
            <v>253.719921674191</v>
          </cell>
          <cell r="D238">
            <v>191.763675605438</v>
          </cell>
          <cell r="E238">
            <v>24.1050000000001</v>
          </cell>
          <cell r="F238">
            <v>2.8722053612195</v>
          </cell>
        </row>
        <row r="239">
          <cell r="B239">
            <v>540.749261996104</v>
          </cell>
          <cell r="C239">
            <v>254.261288552445</v>
          </cell>
          <cell r="D239">
            <v>192.017044903824</v>
          </cell>
          <cell r="E239">
            <v>24.1550000000001</v>
          </cell>
          <cell r="F239">
            <v>2.87694237018618</v>
          </cell>
        </row>
        <row r="240">
          <cell r="B240">
            <v>543.764366239448</v>
          </cell>
          <cell r="C240">
            <v>254.803810555196</v>
          </cell>
          <cell r="D240">
            <v>192.270748968432</v>
          </cell>
          <cell r="E240">
            <v>24.2050000000001</v>
          </cell>
          <cell r="F240">
            <v>2.88168719170494</v>
          </cell>
        </row>
        <row r="241">
          <cell r="B241">
            <v>546.796282070411</v>
          </cell>
          <cell r="C241">
            <v>255.347490147154</v>
          </cell>
          <cell r="D241">
            <v>192.524788241577</v>
          </cell>
          <cell r="E241">
            <v>24.2550000000001</v>
          </cell>
          <cell r="F241">
            <v>2.8864398386607</v>
          </cell>
        </row>
        <row r="242">
          <cell r="B242">
            <v>549.845103226873</v>
          </cell>
          <cell r="C242">
            <v>255.892329798289</v>
          </cell>
          <cell r="D242">
            <v>192.779163166153</v>
          </cell>
          <cell r="E242">
            <v>24.3050000000001</v>
          </cell>
          <cell r="F242">
            <v>2.89120032395961</v>
          </cell>
        </row>
        <row r="243">
          <cell r="B243">
            <v>552.910923969377</v>
          </cell>
          <cell r="C243">
            <v>256.438331983841</v>
          </cell>
          <cell r="D243">
            <v>193.033874185644</v>
          </cell>
          <cell r="E243">
            <v>24.3550000000001</v>
          </cell>
          <cell r="F243">
            <v>2.89596866052913</v>
          </cell>
        </row>
        <row r="244">
          <cell r="B244">
            <v>555.993839084041</v>
          </cell>
          <cell r="C244">
            <v>256.98549918433</v>
          </cell>
          <cell r="D244">
            <v>193.288921744118</v>
          </cell>
          <cell r="E244">
            <v>24.4050000000001</v>
          </cell>
          <cell r="F244">
            <v>2.90074486131804</v>
          </cell>
        </row>
        <row r="245">
          <cell r="B245">
            <v>559.093943885492</v>
          </cell>
          <cell r="C245">
            <v>257.53383388557</v>
          </cell>
          <cell r="D245">
            <v>193.544306286229</v>
          </cell>
          <cell r="E245">
            <v>24.4550000000001</v>
          </cell>
          <cell r="F245">
            <v>2.90552893929647</v>
          </cell>
        </row>
        <row r="246">
          <cell r="B246">
            <v>562.211334219812</v>
          </cell>
          <cell r="C246">
            <v>258.08333857868</v>
          </cell>
          <cell r="D246">
            <v>193.80002825722</v>
          </cell>
          <cell r="E246">
            <v>24.5050000000001</v>
          </cell>
          <cell r="F246">
            <v>2.91032090745594</v>
          </cell>
        </row>
        <row r="247">
          <cell r="B247">
            <v>565.346106467498</v>
          </cell>
          <cell r="C247">
            <v>258.634015760092</v>
          </cell>
          <cell r="D247">
            <v>194.056088102922</v>
          </cell>
          <cell r="E247">
            <v>24.5550000000001</v>
          </cell>
          <cell r="F247">
            <v>2.91512077880939</v>
          </cell>
        </row>
        <row r="248">
          <cell r="B248">
            <v>568.498357546447</v>
          </cell>
          <cell r="C248">
            <v>259.185867931567</v>
          </cell>
          <cell r="D248">
            <v>194.312486269754</v>
          </cell>
          <cell r="E248">
            <v>24.6050000000001</v>
          </cell>
          <cell r="F248">
            <v>2.91992856639125</v>
          </cell>
        </row>
        <row r="249">
          <cell r="B249">
            <v>571.668184914949</v>
          </cell>
          <cell r="C249">
            <v>259.738897600203</v>
          </cell>
          <cell r="D249">
            <v>194.569223204725</v>
          </cell>
          <cell r="E249">
            <v>24.6550000000001</v>
          </cell>
          <cell r="F249">
            <v>2.9247442832574</v>
          </cell>
        </row>
        <row r="250">
          <cell r="B250">
            <v>574.8556865747</v>
          </cell>
          <cell r="C250">
            <v>260.293107278446</v>
          </cell>
          <cell r="D250">
            <v>194.826299355436</v>
          </cell>
          <cell r="E250">
            <v>24.7050000000001</v>
          </cell>
          <cell r="F250">
            <v>2.9295679424853</v>
          </cell>
        </row>
        <row r="251">
          <cell r="B251">
            <v>578.060961073834</v>
          </cell>
          <cell r="C251">
            <v>260.859267560075</v>
          </cell>
          <cell r="D251">
            <v>195.094312690353</v>
          </cell>
          <cell r="E251">
            <v>24.7359027777779</v>
          </cell>
          <cell r="F251">
            <v>2.9344084151188</v>
          </cell>
        </row>
        <row r="252">
          <cell r="B252">
            <v>581.284107509969</v>
          </cell>
          <cell r="C252">
            <v>261.426659289851</v>
          </cell>
          <cell r="D252">
            <v>195.362694718552</v>
          </cell>
          <cell r="E252">
            <v>24.7668055555557</v>
          </cell>
          <cell r="F252">
            <v>2.93925688557853</v>
          </cell>
        </row>
        <row r="253">
          <cell r="B253">
            <v>584.525225533269</v>
          </cell>
          <cell r="C253">
            <v>261.99528514628</v>
          </cell>
          <cell r="D253">
            <v>195.631445947226</v>
          </cell>
          <cell r="E253">
            <v>24.7977083333334</v>
          </cell>
          <cell r="F253">
            <v>2.94411336707915</v>
          </cell>
        </row>
        <row r="254">
          <cell r="B254">
            <v>587.784415349527</v>
          </cell>
          <cell r="C254">
            <v>262.565147813697</v>
          </cell>
          <cell r="D254">
            <v>195.900566884268</v>
          </cell>
          <cell r="E254">
            <v>24.8286111111112</v>
          </cell>
          <cell r="F254">
            <v>2.94897787285716</v>
          </cell>
        </row>
        <row r="255">
          <cell r="B255">
            <v>591.061777723263</v>
          </cell>
          <cell r="C255">
            <v>263.136249982273</v>
          </cell>
          <cell r="D255">
            <v>196.170058038268</v>
          </cell>
          <cell r="E255">
            <v>24.859513888889</v>
          </cell>
          <cell r="F255">
            <v>2.95385041617093</v>
          </cell>
        </row>
        <row r="256">
          <cell r="B256">
            <v>594.357413980839</v>
          </cell>
          <cell r="C256">
            <v>263.708594348032</v>
          </cell>
          <cell r="D256">
            <v>196.439919918515</v>
          </cell>
          <cell r="E256">
            <v>24.8904166666668</v>
          </cell>
          <cell r="F256">
            <v>2.95873101030073</v>
          </cell>
        </row>
        <row r="257">
          <cell r="B257">
            <v>597.671426013591</v>
          </cell>
          <cell r="C257">
            <v>264.282183612862</v>
          </cell>
          <cell r="D257">
            <v>196.710153035001</v>
          </cell>
          <cell r="E257">
            <v>24.9213194444445</v>
          </cell>
          <cell r="F257">
            <v>2.96361966854878</v>
          </cell>
        </row>
        <row r="258">
          <cell r="B258">
            <v>601.003916280978</v>
          </cell>
          <cell r="C258">
            <v>264.857020484526</v>
          </cell>
          <cell r="D258">
            <v>196.980757898417</v>
          </cell>
          <cell r="E258">
            <v>24.9522222222223</v>
          </cell>
          <cell r="F258">
            <v>2.96851640423929</v>
          </cell>
        </row>
        <row r="259">
          <cell r="B259">
            <v>604.354987813755</v>
          </cell>
          <cell r="C259">
            <v>265.43310767668</v>
          </cell>
          <cell r="D259">
            <v>197.251735020158</v>
          </cell>
          <cell r="E259">
            <v>24.9831250000001</v>
          </cell>
          <cell r="F259">
            <v>2.97342123071846</v>
          </cell>
        </row>
        <row r="260">
          <cell r="B260">
            <v>607.724744217151</v>
          </cell>
          <cell r="C260">
            <v>266.010447908878</v>
          </cell>
          <cell r="D260">
            <v>197.523084912322</v>
          </cell>
          <cell r="E260">
            <v>25.0140277777779</v>
          </cell>
          <cell r="F260">
            <v>2.97833416135456</v>
          </cell>
        </row>
        <row r="261">
          <cell r="B261">
            <v>611.11328967408</v>
          </cell>
          <cell r="C261">
            <v>266.589043906594</v>
          </cell>
          <cell r="D261">
            <v>197.794808087713</v>
          </cell>
          <cell r="E261">
            <v>25.0449305555556</v>
          </cell>
          <cell r="F261">
            <v>2.98325520953795</v>
          </cell>
        </row>
        <row r="262">
          <cell r="B262">
            <v>614.520728948354</v>
          </cell>
          <cell r="C262">
            <v>267.168898401227</v>
          </cell>
          <cell r="D262">
            <v>198.066905059837</v>
          </cell>
          <cell r="E262">
            <v>25.0758333333334</v>
          </cell>
          <cell r="F262">
            <v>2.9881843886811</v>
          </cell>
        </row>
        <row r="263">
          <cell r="B263">
            <v>617.898974975202</v>
          </cell>
          <cell r="C263">
            <v>267.760699845458</v>
          </cell>
          <cell r="D263">
            <v>198.350618042666</v>
          </cell>
          <cell r="E263">
            <v>25.0761805555557</v>
          </cell>
          <cell r="F263">
            <v>2.99310910169973</v>
          </cell>
        </row>
        <row r="264">
          <cell r="B264">
            <v>621.295792460556</v>
          </cell>
          <cell r="C264">
            <v>268.35381217936</v>
          </cell>
          <cell r="D264">
            <v>198.634737418761</v>
          </cell>
          <cell r="E264">
            <v>25.0765277777779</v>
          </cell>
          <cell r="F264">
            <v>2.99804193095055</v>
          </cell>
        </row>
        <row r="265">
          <cell r="B265">
            <v>624.711283498538</v>
          </cell>
          <cell r="C265">
            <v>268.948238306664</v>
          </cell>
          <cell r="D265">
            <v>198.919263770245</v>
          </cell>
          <cell r="E265">
            <v>25.0768750000001</v>
          </cell>
          <cell r="F265">
            <v>3.00298288980961</v>
          </cell>
        </row>
        <row r="266">
          <cell r="B266">
            <v>628.145550744524</v>
          </cell>
          <cell r="C266">
            <v>269.543981137531</v>
          </cell>
          <cell r="D266">
            <v>199.204197680074</v>
          </cell>
          <cell r="E266">
            <v>25.0772222222223</v>
          </cell>
          <cell r="F266">
            <v>3.00793199167501</v>
          </cell>
        </row>
        <row r="267">
          <cell r="B267">
            <v>631.59869741822</v>
          </cell>
          <cell r="C267">
            <v>270.14104358857</v>
          </cell>
          <cell r="D267">
            <v>199.489539732037</v>
          </cell>
          <cell r="E267">
            <v>25.0775694444445</v>
          </cell>
          <cell r="F267">
            <v>3.01288924996692</v>
          </cell>
        </row>
        <row r="268">
          <cell r="B268">
            <v>635.070827306771</v>
          </cell>
          <cell r="C268">
            <v>270.739428582851</v>
          </cell>
          <cell r="D268">
            <v>199.775290510761</v>
          </cell>
          <cell r="E268">
            <v>25.0779166666668</v>
          </cell>
          <cell r="F268">
            <v>3.01785467812765</v>
          </cell>
        </row>
        <row r="269">
          <cell r="B269">
            <v>638.562044767878</v>
          </cell>
          <cell r="C269">
            <v>271.339139049916</v>
          </cell>
          <cell r="D269">
            <v>200.061450601712</v>
          </cell>
          <cell r="E269">
            <v>25.078263888889</v>
          </cell>
          <cell r="F269">
            <v>3.02282828962165</v>
          </cell>
        </row>
        <row r="270">
          <cell r="B270">
            <v>642.072454732934</v>
          </cell>
          <cell r="C270">
            <v>271.940177925799</v>
          </cell>
          <cell r="D270">
            <v>200.348020591191</v>
          </cell>
          <cell r="E270">
            <v>25.0786111111112</v>
          </cell>
          <cell r="F270">
            <v>3.02781009793555</v>
          </cell>
        </row>
        <row r="271">
          <cell r="B271">
            <v>645.602162710177</v>
          </cell>
          <cell r="C271">
            <v>272.542548153037</v>
          </cell>
          <cell r="D271">
            <v>200.635001066342</v>
          </cell>
          <cell r="E271">
            <v>25.0789583333334</v>
          </cell>
          <cell r="F271">
            <v>3.03280011657821</v>
          </cell>
        </row>
        <row r="272">
          <cell r="B272">
            <v>649.151274787866</v>
          </cell>
          <cell r="C272">
            <v>273.146252680685</v>
          </cell>
          <cell r="D272">
            <v>200.922392615148</v>
          </cell>
          <cell r="E272">
            <v>25.0793055555556</v>
          </cell>
          <cell r="F272">
            <v>3.03779835908079</v>
          </cell>
        </row>
        <row r="273">
          <cell r="B273">
            <v>652.719897637462</v>
          </cell>
          <cell r="C273">
            <v>273.751294464328</v>
          </cell>
          <cell r="D273">
            <v>201.210195826435</v>
          </cell>
          <cell r="E273">
            <v>25.0796527777779</v>
          </cell>
          <cell r="F273">
            <v>3.04280483899669</v>
          </cell>
        </row>
        <row r="274">
          <cell r="B274">
            <v>656.308138516842</v>
          </cell>
          <cell r="C274">
            <v>274.357676466101</v>
          </cell>
          <cell r="D274">
            <v>201.498411289872</v>
          </cell>
          <cell r="E274">
            <v>25.0800000000001</v>
          </cell>
          <cell r="F274">
            <v>3.04781956990169</v>
          </cell>
        </row>
        <row r="275">
          <cell r="B275">
            <v>659.916105273517</v>
          </cell>
          <cell r="C275">
            <v>274.973117170653</v>
          </cell>
          <cell r="D275">
            <v>201.799638495327</v>
          </cell>
          <cell r="E275">
            <v>25.0800000000001</v>
          </cell>
          <cell r="F275">
            <v>3.05285098115965</v>
          </cell>
        </row>
        <row r="276">
          <cell r="B276">
            <v>663.543906347874</v>
          </cell>
          <cell r="C276">
            <v>275.589938435303</v>
          </cell>
          <cell r="D276">
            <v>202.101316016141</v>
          </cell>
          <cell r="E276">
            <v>25.0800000000001</v>
          </cell>
          <cell r="F276">
            <v>3.05789069838804</v>
          </cell>
        </row>
        <row r="277">
          <cell r="B277">
            <v>667.19165077644</v>
          </cell>
          <cell r="C277">
            <v>276.208143356931</v>
          </cell>
          <cell r="D277">
            <v>202.403444525506</v>
          </cell>
          <cell r="E277">
            <v>25.0800000000001</v>
          </cell>
          <cell r="F277">
            <v>3.06293873529856</v>
          </cell>
        </row>
        <row r="278">
          <cell r="B278">
            <v>670.859448195152</v>
          </cell>
          <cell r="C278">
            <v>276.827735039366</v>
          </cell>
          <cell r="D278">
            <v>202.70602469762</v>
          </cell>
          <cell r="E278">
            <v>25.0800000000001</v>
          </cell>
          <cell r="F278">
            <v>3.06799510562553</v>
          </cell>
        </row>
        <row r="279">
          <cell r="B279">
            <v>674.54740884266</v>
          </cell>
          <cell r="C279">
            <v>277.448716593396</v>
          </cell>
          <cell r="D279">
            <v>203.009057207692</v>
          </cell>
          <cell r="E279">
            <v>25.0800000000001</v>
          </cell>
          <cell r="F279">
            <v>3.07305982312594</v>
          </cell>
        </row>
        <row r="280">
          <cell r="B280">
            <v>678.255643563632</v>
          </cell>
          <cell r="C280">
            <v>278.07109113679</v>
          </cell>
          <cell r="D280">
            <v>203.312542731937</v>
          </cell>
          <cell r="E280">
            <v>25.0800000000001</v>
          </cell>
          <cell r="F280">
            <v>3.07813290157952</v>
          </cell>
        </row>
        <row r="281">
          <cell r="B281">
            <v>681.984263812095</v>
          </cell>
          <cell r="C281">
            <v>278.694861794309</v>
          </cell>
          <cell r="D281">
            <v>203.616481947581</v>
          </cell>
          <cell r="E281">
            <v>25.0800000000001</v>
          </cell>
          <cell r="F281">
            <v>3.0832143547887</v>
          </cell>
        </row>
        <row r="282">
          <cell r="B282">
            <v>685.733381654774</v>
          </cell>
          <cell r="C282">
            <v>279.320031697725</v>
          </cell>
          <cell r="D282">
            <v>203.920875532866</v>
          </cell>
          <cell r="E282">
            <v>25.0800000000001</v>
          </cell>
          <cell r="F282">
            <v>3.08830419657873</v>
          </cell>
        </row>
        <row r="283">
          <cell r="B283">
            <v>689.50310977447</v>
          </cell>
          <cell r="C283">
            <v>279.946603985833</v>
          </cell>
          <cell r="D283">
            <v>204.225724167044</v>
          </cell>
          <cell r="E283">
            <v>25.0800000000001</v>
          </cell>
          <cell r="F283">
            <v>3.09340244079768</v>
          </cell>
        </row>
        <row r="284">
          <cell r="B284">
            <v>693.293561473441</v>
          </cell>
          <cell r="C284">
            <v>280.574581804471</v>
          </cell>
          <cell r="D284">
            <v>204.531028530384</v>
          </cell>
          <cell r="E284">
            <v>25.0800000000001</v>
          </cell>
          <cell r="F284">
            <v>3.09850910131647</v>
          </cell>
        </row>
        <row r="285">
          <cell r="B285">
            <v>697.10485067681</v>
          </cell>
          <cell r="C285">
            <v>281.203968306534</v>
          </cell>
          <cell r="D285">
            <v>204.836789304172</v>
          </cell>
          <cell r="E285">
            <v>25.0800000000001</v>
          </cell>
          <cell r="F285">
            <v>3.10362419202893</v>
          </cell>
        </row>
        <row r="286">
          <cell r="B286">
            <v>700.937091935988</v>
          </cell>
          <cell r="C286">
            <v>281.834766651987</v>
          </cell>
          <cell r="D286">
            <v>205.143007170713</v>
          </cell>
          <cell r="E286">
            <v>25.0800000000001</v>
          </cell>
          <cell r="F286">
            <v>3.10874772685181</v>
          </cell>
        </row>
        <row r="287">
          <cell r="B287">
            <v>704.790400432116</v>
          </cell>
          <cell r="C287">
            <v>282.480056369098</v>
          </cell>
          <cell r="D287">
            <v>205.464811657908</v>
          </cell>
          <cell r="E287">
            <v>25.0800000000001</v>
          </cell>
          <cell r="F287">
            <v>3.11389218833154</v>
          </cell>
        </row>
        <row r="288">
          <cell r="B288">
            <v>708.66489197953</v>
          </cell>
          <cell r="C288">
            <v>283.126823543458</v>
          </cell>
          <cell r="D288">
            <v>205.78712095455</v>
          </cell>
          <cell r="E288">
            <v>25.0800000000001</v>
          </cell>
          <cell r="F288">
            <v>3.11904516304111</v>
          </cell>
        </row>
        <row r="289">
          <cell r="B289">
            <v>712.560683029238</v>
          </cell>
          <cell r="C289">
            <v>283.775071557857</v>
          </cell>
          <cell r="D289">
            <v>206.109935852525</v>
          </cell>
          <cell r="E289">
            <v>25.0800000000001</v>
          </cell>
          <cell r="F289">
            <v>3.12420666506851</v>
          </cell>
        </row>
        <row r="290">
          <cell r="B290">
            <v>716.477890672423</v>
          </cell>
          <cell r="C290">
            <v>284.424803802831</v>
          </cell>
          <cell r="D290">
            <v>206.433257144962</v>
          </cell>
          <cell r="E290">
            <v>25.0800000000001</v>
          </cell>
          <cell r="F290">
            <v>3.12937670852503</v>
          </cell>
        </row>
        <row r="291">
          <cell r="B291">
            <v>720.416632643961</v>
          </cell>
          <cell r="C291">
            <v>285.076023676679</v>
          </cell>
          <cell r="D291">
            <v>206.757085626233</v>
          </cell>
          <cell r="E291">
            <v>25.0800000000001</v>
          </cell>
          <cell r="F291">
            <v>3.13455530754531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Assm"/>
      <sheetName val="Cashflow"/>
      <sheetName val="Returns"/>
      <sheetName val="EINC"/>
      <sheetName val="Ref1"/>
      <sheetName val="MMBTU"/>
      <sheetName val="EPE Revenues"/>
      <sheetName val="SCG Commodity"/>
      <sheetName val="Transportation"/>
      <sheetName val="XNPV"/>
      <sheetName val="Escalation"/>
    </sheetNames>
    <sheetDataSet>
      <sheetData sheetId="0"/>
      <sheetData sheetId="1"/>
      <sheetData sheetId="2"/>
      <sheetData sheetId="3"/>
      <sheetData sheetId="4"/>
      <sheetData sheetId="5"/>
      <sheetData sheetId="6">
        <row r="35">
          <cell r="R35">
            <v>127260</v>
          </cell>
        </row>
        <row r="36">
          <cell r="R36">
            <v>709020</v>
          </cell>
        </row>
        <row r="37">
          <cell r="R37">
            <v>1483488</v>
          </cell>
        </row>
        <row r="38">
          <cell r="R38">
            <v>2344492.8</v>
          </cell>
        </row>
        <row r="39">
          <cell r="R39">
            <v>2367541</v>
          </cell>
        </row>
        <row r="40">
          <cell r="R40">
            <v>2092866.048</v>
          </cell>
        </row>
        <row r="41">
          <cell r="R41">
            <v>2025354.24</v>
          </cell>
        </row>
        <row r="42">
          <cell r="R42">
            <v>2092866.048</v>
          </cell>
        </row>
        <row r="43">
          <cell r="R43">
            <v>2025354.24</v>
          </cell>
        </row>
        <row r="44">
          <cell r="R44">
            <v>2092866.048</v>
          </cell>
        </row>
        <row r="45">
          <cell r="R45">
            <v>2092866.048</v>
          </cell>
        </row>
        <row r="46">
          <cell r="R46">
            <v>1890330.624</v>
          </cell>
        </row>
        <row r="47">
          <cell r="R47">
            <v>2092866.048</v>
          </cell>
        </row>
        <row r="48">
          <cell r="R48">
            <v>2025354.24</v>
          </cell>
        </row>
        <row r="49">
          <cell r="R49">
            <v>2092866.048</v>
          </cell>
        </row>
        <row r="50">
          <cell r="R50">
            <v>2025354.24</v>
          </cell>
        </row>
        <row r="51">
          <cell r="R51">
            <v>2092866.048</v>
          </cell>
        </row>
        <row r="52">
          <cell r="R52">
            <v>2092866.048</v>
          </cell>
        </row>
        <row r="53">
          <cell r="R53">
            <v>2025354.24</v>
          </cell>
        </row>
        <row r="54">
          <cell r="R54">
            <v>2092866.048</v>
          </cell>
        </row>
        <row r="55">
          <cell r="R55">
            <v>2025354.24</v>
          </cell>
        </row>
        <row r="56">
          <cell r="R56">
            <v>2092866.048</v>
          </cell>
        </row>
        <row r="57">
          <cell r="R57">
            <v>2092866.048</v>
          </cell>
        </row>
        <row r="58">
          <cell r="R58">
            <v>1890330.624</v>
          </cell>
        </row>
        <row r="59">
          <cell r="R59">
            <v>2092866.048</v>
          </cell>
        </row>
        <row r="60">
          <cell r="R60">
            <v>2025354.24</v>
          </cell>
        </row>
        <row r="61">
          <cell r="R61">
            <v>2092866.048</v>
          </cell>
        </row>
        <row r="62">
          <cell r="R62">
            <v>2025354.24</v>
          </cell>
        </row>
        <row r="63">
          <cell r="R63">
            <v>2092866.048</v>
          </cell>
        </row>
        <row r="64">
          <cell r="R64">
            <v>2092866.048</v>
          </cell>
        </row>
        <row r="65">
          <cell r="R65">
            <v>2025354.24</v>
          </cell>
        </row>
        <row r="66">
          <cell r="R66">
            <v>2092866.048</v>
          </cell>
        </row>
        <row r="67">
          <cell r="R67">
            <v>2025354.24</v>
          </cell>
        </row>
        <row r="68">
          <cell r="R68">
            <v>2092866.048</v>
          </cell>
        </row>
        <row r="69">
          <cell r="R69">
            <v>2092866.048</v>
          </cell>
        </row>
        <row r="70">
          <cell r="R70">
            <v>1957842.432</v>
          </cell>
        </row>
        <row r="71">
          <cell r="R71">
            <v>2092866.048</v>
          </cell>
        </row>
        <row r="72">
          <cell r="R72">
            <v>2025354.24</v>
          </cell>
        </row>
        <row r="73">
          <cell r="R73">
            <v>2092866.048</v>
          </cell>
        </row>
        <row r="74">
          <cell r="R74">
            <v>2025354.24</v>
          </cell>
        </row>
        <row r="75">
          <cell r="R75">
            <v>2092866.048</v>
          </cell>
        </row>
        <row r="76">
          <cell r="R76">
            <v>2092866.048</v>
          </cell>
        </row>
        <row r="77">
          <cell r="R77">
            <v>2025354.24</v>
          </cell>
        </row>
        <row r="78">
          <cell r="R78">
            <v>2092866.048</v>
          </cell>
        </row>
        <row r="79">
          <cell r="R79">
            <v>2025354.24</v>
          </cell>
        </row>
        <row r="80">
          <cell r="R80">
            <v>2092866.048</v>
          </cell>
        </row>
        <row r="81">
          <cell r="R81">
            <v>2092866.048</v>
          </cell>
        </row>
        <row r="82">
          <cell r="R82">
            <v>1890330.624</v>
          </cell>
        </row>
        <row r="83">
          <cell r="R83">
            <v>2092866.048</v>
          </cell>
        </row>
        <row r="84">
          <cell r="R84">
            <v>2025354.24</v>
          </cell>
        </row>
        <row r="85">
          <cell r="R85">
            <v>2092866.048</v>
          </cell>
        </row>
        <row r="86">
          <cell r="R86">
            <v>2025354.24</v>
          </cell>
        </row>
        <row r="87">
          <cell r="R87">
            <v>2092866.048</v>
          </cell>
        </row>
        <row r="88">
          <cell r="R88">
            <v>2092866.048</v>
          </cell>
        </row>
        <row r="89">
          <cell r="R89">
            <v>2025354.24</v>
          </cell>
        </row>
        <row r="90">
          <cell r="R90">
            <v>2092866.048</v>
          </cell>
        </row>
        <row r="91">
          <cell r="R91">
            <v>2025354.24</v>
          </cell>
        </row>
        <row r="92">
          <cell r="R92">
            <v>2092866.048</v>
          </cell>
        </row>
        <row r="93">
          <cell r="R93">
            <v>2092866.048</v>
          </cell>
        </row>
        <row r="94">
          <cell r="R94">
            <v>1890330.624</v>
          </cell>
        </row>
        <row r="95">
          <cell r="R95">
            <v>2092866.048</v>
          </cell>
        </row>
        <row r="96">
          <cell r="R96">
            <v>2025354.24</v>
          </cell>
        </row>
        <row r="97">
          <cell r="R97">
            <v>2092866.048</v>
          </cell>
        </row>
        <row r="98">
          <cell r="R98">
            <v>2025354.24</v>
          </cell>
        </row>
        <row r="99">
          <cell r="R99">
            <v>2092866.048</v>
          </cell>
        </row>
        <row r="100">
          <cell r="R100">
            <v>2092866.048</v>
          </cell>
        </row>
        <row r="101">
          <cell r="R101">
            <v>2025354.24</v>
          </cell>
        </row>
        <row r="102">
          <cell r="R102">
            <v>2092866.048</v>
          </cell>
        </row>
        <row r="103">
          <cell r="R103">
            <v>2025354.24</v>
          </cell>
        </row>
        <row r="104">
          <cell r="R104">
            <v>2092866.048</v>
          </cell>
        </row>
        <row r="105">
          <cell r="R105">
            <v>2092866.048</v>
          </cell>
        </row>
        <row r="106">
          <cell r="R106">
            <v>1890330.624</v>
          </cell>
        </row>
        <row r="107">
          <cell r="R107">
            <v>2092866.048</v>
          </cell>
        </row>
        <row r="108">
          <cell r="R108">
            <v>2025354.24</v>
          </cell>
        </row>
        <row r="109">
          <cell r="R109">
            <v>2092866.048</v>
          </cell>
        </row>
        <row r="110">
          <cell r="R110">
            <v>2025354.24</v>
          </cell>
        </row>
        <row r="111">
          <cell r="R111">
            <v>2092866.048</v>
          </cell>
        </row>
        <row r="112">
          <cell r="R112">
            <v>2092866.048</v>
          </cell>
        </row>
        <row r="113">
          <cell r="R113">
            <v>2025354.24</v>
          </cell>
        </row>
        <row r="114">
          <cell r="R114">
            <v>2092866.048</v>
          </cell>
        </row>
        <row r="115">
          <cell r="R115">
            <v>2025354.24</v>
          </cell>
        </row>
        <row r="116">
          <cell r="R116">
            <v>2092866.048</v>
          </cell>
        </row>
        <row r="117">
          <cell r="R117">
            <v>2092866.048</v>
          </cell>
        </row>
        <row r="118">
          <cell r="R118">
            <v>1957842.432</v>
          </cell>
        </row>
        <row r="119">
          <cell r="R119">
            <v>2092866.048</v>
          </cell>
        </row>
        <row r="120">
          <cell r="R120">
            <v>2025354.24</v>
          </cell>
        </row>
        <row r="121">
          <cell r="R121">
            <v>2092866.048</v>
          </cell>
        </row>
        <row r="122">
          <cell r="R122">
            <v>2025354.24</v>
          </cell>
        </row>
        <row r="123">
          <cell r="R123">
            <v>2092866.048</v>
          </cell>
        </row>
        <row r="124">
          <cell r="R124">
            <v>2092866.048</v>
          </cell>
        </row>
        <row r="125">
          <cell r="R125">
            <v>2025354.24</v>
          </cell>
        </row>
        <row r="126">
          <cell r="R126">
            <v>2092866.048</v>
          </cell>
        </row>
        <row r="127">
          <cell r="R127">
            <v>2025354.24</v>
          </cell>
        </row>
        <row r="128">
          <cell r="R128">
            <v>2092866.048</v>
          </cell>
        </row>
        <row r="129">
          <cell r="R129">
            <v>2092866.048</v>
          </cell>
        </row>
        <row r="130">
          <cell r="R130">
            <v>1890330.624</v>
          </cell>
        </row>
        <row r="131">
          <cell r="R131">
            <v>2092866.048</v>
          </cell>
        </row>
        <row r="132">
          <cell r="R132">
            <v>2025354.24</v>
          </cell>
        </row>
        <row r="133">
          <cell r="R133">
            <v>2092866.048</v>
          </cell>
        </row>
        <row r="134">
          <cell r="R134">
            <v>2025354.24</v>
          </cell>
        </row>
        <row r="135">
          <cell r="R135">
            <v>2092866.048</v>
          </cell>
        </row>
        <row r="136">
          <cell r="R136">
            <v>2092866.048</v>
          </cell>
        </row>
        <row r="137">
          <cell r="R137">
            <v>2025354.24</v>
          </cell>
        </row>
        <row r="138">
          <cell r="R138">
            <v>2092866.048</v>
          </cell>
        </row>
        <row r="139">
          <cell r="R139">
            <v>2025354.24</v>
          </cell>
        </row>
        <row r="140">
          <cell r="R140">
            <v>2092866.048</v>
          </cell>
        </row>
        <row r="141">
          <cell r="R141">
            <v>2092866.048</v>
          </cell>
        </row>
        <row r="142">
          <cell r="R142">
            <v>1890330.624</v>
          </cell>
        </row>
        <row r="143">
          <cell r="R143">
            <v>2092866.048</v>
          </cell>
        </row>
        <row r="144">
          <cell r="R144">
            <v>2025354.24</v>
          </cell>
        </row>
        <row r="145">
          <cell r="R145">
            <v>2092866.048</v>
          </cell>
        </row>
        <row r="146">
          <cell r="R146">
            <v>2025354.24</v>
          </cell>
        </row>
        <row r="147">
          <cell r="R147">
            <v>2092866.048</v>
          </cell>
        </row>
        <row r="148">
          <cell r="R148">
            <v>2092866.048</v>
          </cell>
        </row>
        <row r="149">
          <cell r="R149">
            <v>2025354.24</v>
          </cell>
        </row>
        <row r="150">
          <cell r="R150">
            <v>2092866.048</v>
          </cell>
        </row>
        <row r="151">
          <cell r="R151">
            <v>2025354.24</v>
          </cell>
        </row>
        <row r="152">
          <cell r="R152">
            <v>2092866.048</v>
          </cell>
        </row>
        <row r="153">
          <cell r="R153">
            <v>2092866.048</v>
          </cell>
        </row>
        <row r="154">
          <cell r="R154">
            <v>1890330.624</v>
          </cell>
        </row>
        <row r="155">
          <cell r="R155">
            <v>2092866.048</v>
          </cell>
        </row>
        <row r="156">
          <cell r="R156">
            <v>2025354.24</v>
          </cell>
        </row>
        <row r="157">
          <cell r="R157">
            <v>2092866.048</v>
          </cell>
        </row>
        <row r="158">
          <cell r="R158">
            <v>2025354.24</v>
          </cell>
        </row>
        <row r="159">
          <cell r="R159">
            <v>2092866.048</v>
          </cell>
        </row>
        <row r="160">
          <cell r="R160">
            <v>2092866.048</v>
          </cell>
        </row>
        <row r="161">
          <cell r="R161">
            <v>2025354.24</v>
          </cell>
        </row>
        <row r="162">
          <cell r="R162">
            <v>2092866.048</v>
          </cell>
        </row>
        <row r="163">
          <cell r="R163">
            <v>2025354.24</v>
          </cell>
        </row>
        <row r="164">
          <cell r="R164">
            <v>2092866.048</v>
          </cell>
        </row>
        <row r="165">
          <cell r="R165">
            <v>2092866.048</v>
          </cell>
        </row>
        <row r="166">
          <cell r="R166">
            <v>1957842.432</v>
          </cell>
        </row>
        <row r="167">
          <cell r="R167">
            <v>2092866.048</v>
          </cell>
        </row>
        <row r="168">
          <cell r="R168">
            <v>2025354.24</v>
          </cell>
        </row>
        <row r="169">
          <cell r="R169">
            <v>2092866.048</v>
          </cell>
        </row>
        <row r="170">
          <cell r="R170">
            <v>2025354.24</v>
          </cell>
        </row>
        <row r="171">
          <cell r="R171">
            <v>2092866.048</v>
          </cell>
        </row>
        <row r="172">
          <cell r="R172">
            <v>2092866.048</v>
          </cell>
        </row>
        <row r="173">
          <cell r="R173">
            <v>2025354.24</v>
          </cell>
        </row>
        <row r="174">
          <cell r="R174">
            <v>2092866.048</v>
          </cell>
        </row>
        <row r="175">
          <cell r="R175">
            <v>2025354.24</v>
          </cell>
        </row>
        <row r="176">
          <cell r="R176">
            <v>2092866.048</v>
          </cell>
        </row>
        <row r="177">
          <cell r="R177">
            <v>2092866.048</v>
          </cell>
        </row>
        <row r="178">
          <cell r="R178">
            <v>1890330.624</v>
          </cell>
        </row>
        <row r="179">
          <cell r="R179">
            <v>2092866.048</v>
          </cell>
        </row>
        <row r="180">
          <cell r="R180">
            <v>2025354.24</v>
          </cell>
        </row>
        <row r="181">
          <cell r="R181">
            <v>2092866.048</v>
          </cell>
        </row>
        <row r="182">
          <cell r="R182">
            <v>2025354.24</v>
          </cell>
        </row>
        <row r="183">
          <cell r="R183">
            <v>2092866.048</v>
          </cell>
        </row>
        <row r="184">
          <cell r="R184">
            <v>2092866.048</v>
          </cell>
        </row>
        <row r="185">
          <cell r="R185">
            <v>2025354.24</v>
          </cell>
        </row>
        <row r="186">
          <cell r="R186">
            <v>2092866.048</v>
          </cell>
        </row>
        <row r="187">
          <cell r="R187">
            <v>2025354.24</v>
          </cell>
        </row>
        <row r="188">
          <cell r="R188">
            <v>2092866.048</v>
          </cell>
        </row>
        <row r="189">
          <cell r="R189">
            <v>2092866.048</v>
          </cell>
        </row>
        <row r="190">
          <cell r="R190">
            <v>1890330.624</v>
          </cell>
        </row>
        <row r="191">
          <cell r="R191">
            <v>2092866.048</v>
          </cell>
        </row>
        <row r="192">
          <cell r="R192">
            <v>2025354.24</v>
          </cell>
        </row>
        <row r="193">
          <cell r="R193">
            <v>2092866.048</v>
          </cell>
        </row>
        <row r="194">
          <cell r="R194">
            <v>2025354.24</v>
          </cell>
        </row>
        <row r="195">
          <cell r="R195">
            <v>2092866.048</v>
          </cell>
        </row>
        <row r="196">
          <cell r="R196">
            <v>2092866.048</v>
          </cell>
        </row>
        <row r="197">
          <cell r="R197">
            <v>2025354.24</v>
          </cell>
        </row>
        <row r="198">
          <cell r="R198">
            <v>2092866.048</v>
          </cell>
        </row>
        <row r="199">
          <cell r="R199">
            <v>2025354.24</v>
          </cell>
        </row>
        <row r="200">
          <cell r="R200">
            <v>2092866.048</v>
          </cell>
        </row>
        <row r="201">
          <cell r="R201">
            <v>2092866.048</v>
          </cell>
        </row>
        <row r="202">
          <cell r="R202">
            <v>1890330.624</v>
          </cell>
        </row>
        <row r="203">
          <cell r="R203">
            <v>2092866.048</v>
          </cell>
        </row>
        <row r="204">
          <cell r="R204">
            <v>2025354.24</v>
          </cell>
        </row>
        <row r="205">
          <cell r="R205">
            <v>2092866.048</v>
          </cell>
        </row>
        <row r="206">
          <cell r="R206">
            <v>2025354.24</v>
          </cell>
        </row>
        <row r="207">
          <cell r="R207">
            <v>2092866.048</v>
          </cell>
        </row>
        <row r="208">
          <cell r="R208">
            <v>2092866.048</v>
          </cell>
        </row>
        <row r="209">
          <cell r="R209">
            <v>2025354.24</v>
          </cell>
        </row>
        <row r="210">
          <cell r="R210">
            <v>2092866.048</v>
          </cell>
        </row>
        <row r="211">
          <cell r="R211">
            <v>2025354.24</v>
          </cell>
        </row>
        <row r="212">
          <cell r="R212">
            <v>2092866.048</v>
          </cell>
        </row>
        <row r="213">
          <cell r="R213">
            <v>2092866.048</v>
          </cell>
        </row>
        <row r="214">
          <cell r="R214">
            <v>1957842.432</v>
          </cell>
        </row>
        <row r="215">
          <cell r="R215">
            <v>2092866.048</v>
          </cell>
        </row>
        <row r="216">
          <cell r="R216">
            <v>2025354.24</v>
          </cell>
        </row>
        <row r="217">
          <cell r="R217">
            <v>2092866.048</v>
          </cell>
        </row>
        <row r="218">
          <cell r="R218">
            <v>2025354.24</v>
          </cell>
        </row>
        <row r="219">
          <cell r="R219">
            <v>2092866.048</v>
          </cell>
        </row>
        <row r="220">
          <cell r="R220">
            <v>2092866.048</v>
          </cell>
        </row>
        <row r="221">
          <cell r="R221">
            <v>2025354.24</v>
          </cell>
        </row>
        <row r="222">
          <cell r="R222">
            <v>2092866.048</v>
          </cell>
        </row>
        <row r="223">
          <cell r="R223">
            <v>2025354.24</v>
          </cell>
        </row>
        <row r="224">
          <cell r="R224">
            <v>2092866.048</v>
          </cell>
        </row>
        <row r="225">
          <cell r="R225">
            <v>2092866.048</v>
          </cell>
        </row>
        <row r="226">
          <cell r="R226">
            <v>1890330.624</v>
          </cell>
        </row>
        <row r="227">
          <cell r="R227">
            <v>2092866.048</v>
          </cell>
        </row>
        <row r="228">
          <cell r="R228">
            <v>2025354.24</v>
          </cell>
        </row>
        <row r="229">
          <cell r="R229">
            <v>2092866.048</v>
          </cell>
        </row>
        <row r="230">
          <cell r="R230">
            <v>2025354.24</v>
          </cell>
        </row>
        <row r="231">
          <cell r="R231">
            <v>2092866.048</v>
          </cell>
        </row>
        <row r="232">
          <cell r="R232">
            <v>2092866.048</v>
          </cell>
        </row>
        <row r="233">
          <cell r="R233">
            <v>2025354.24</v>
          </cell>
        </row>
        <row r="234">
          <cell r="R234">
            <v>2092866.048</v>
          </cell>
        </row>
        <row r="235">
          <cell r="R235">
            <v>2025354.24</v>
          </cell>
        </row>
        <row r="236">
          <cell r="R236">
            <v>2092866.048</v>
          </cell>
        </row>
        <row r="237">
          <cell r="R237">
            <v>2092866.048</v>
          </cell>
        </row>
        <row r="238">
          <cell r="R238">
            <v>1890330.624</v>
          </cell>
        </row>
        <row r="239">
          <cell r="R239">
            <v>2092866.048</v>
          </cell>
        </row>
        <row r="240">
          <cell r="R240">
            <v>2025354.24</v>
          </cell>
        </row>
        <row r="241">
          <cell r="R241">
            <v>2092866.048</v>
          </cell>
        </row>
        <row r="242">
          <cell r="R242">
            <v>2025354.24</v>
          </cell>
        </row>
        <row r="243">
          <cell r="R243">
            <v>2092866.048</v>
          </cell>
        </row>
        <row r="244">
          <cell r="R244">
            <v>2092866.048</v>
          </cell>
        </row>
        <row r="245">
          <cell r="R245">
            <v>2025354.24</v>
          </cell>
        </row>
        <row r="246">
          <cell r="R246">
            <v>2092866.048</v>
          </cell>
        </row>
        <row r="247">
          <cell r="R247">
            <v>2025354.24</v>
          </cell>
        </row>
        <row r="248">
          <cell r="R248">
            <v>2092866.048</v>
          </cell>
        </row>
        <row r="249">
          <cell r="R249">
            <v>2092866.048</v>
          </cell>
        </row>
        <row r="250">
          <cell r="R250">
            <v>1890330.624</v>
          </cell>
        </row>
        <row r="251">
          <cell r="R251">
            <v>2092866.048</v>
          </cell>
        </row>
        <row r="252">
          <cell r="R252">
            <v>2025354.24</v>
          </cell>
        </row>
        <row r="253">
          <cell r="R253">
            <v>0</v>
          </cell>
        </row>
        <row r="254">
          <cell r="R254">
            <v>0</v>
          </cell>
        </row>
        <row r="255">
          <cell r="R255">
            <v>0</v>
          </cell>
        </row>
        <row r="256">
          <cell r="R256">
            <v>0</v>
          </cell>
        </row>
        <row r="257">
          <cell r="R257">
            <v>0</v>
          </cell>
        </row>
        <row r="258">
          <cell r="R258">
            <v>0</v>
          </cell>
        </row>
        <row r="259">
          <cell r="R259">
            <v>0</v>
          </cell>
        </row>
        <row r="260">
          <cell r="R260">
            <v>0</v>
          </cell>
        </row>
        <row r="261">
          <cell r="R261">
            <v>0</v>
          </cell>
        </row>
        <row r="262">
          <cell r="R262">
            <v>0</v>
          </cell>
        </row>
        <row r="263">
          <cell r="R263">
            <v>0</v>
          </cell>
        </row>
        <row r="264">
          <cell r="R264">
            <v>0</v>
          </cell>
        </row>
        <row r="265">
          <cell r="R265">
            <v>0</v>
          </cell>
        </row>
        <row r="266">
          <cell r="R266">
            <v>0</v>
          </cell>
        </row>
        <row r="268">
          <cell r="R268">
            <v>444643341.256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vmlDrawing" Target="../drawings/vmlDrawing2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50.7"/>
    <col collapsed="false" customWidth="true" hidden="false" outlineLevel="0" max="3" min="3" style="1" width="12.7"/>
    <col collapsed="false" customWidth="false" hidden="false" outlineLevel="0" max="257" min="4" style="1" width="9.14"/>
  </cols>
  <sheetData>
    <row r="1" customFormat="false" ht="15.75" hidden="false" customHeight="false" outlineLevel="0" collapsed="false">
      <c r="B1" s="2"/>
      <c r="C1" s="3"/>
    </row>
    <row r="2" customFormat="false" ht="18" hidden="false" customHeight="false" outlineLevel="0" collapsed="false">
      <c r="B2" s="4" t="s">
        <v>0</v>
      </c>
      <c r="C2" s="4"/>
    </row>
    <row r="3" customFormat="false" ht="15.75" hidden="false" customHeight="false" outlineLevel="0" collapsed="false">
      <c r="B3" s="5" t="str">
        <f aca="false">CONCATENATE(Assm!$E$7," KM PIPELINE SPUR FOR CUIABA POWER PLANT (BRAZIL)")</f>
        <v>257 KM PIPELINE SPUR FOR CUIABA POWER PLANT (BRAZIL)</v>
      </c>
      <c r="C3" s="5"/>
    </row>
    <row r="4" customFormat="false" ht="15" hidden="false" customHeight="false" outlineLevel="0" collapsed="false">
      <c r="B4" s="6" t="s">
        <v>1</v>
      </c>
      <c r="C4" s="6"/>
    </row>
    <row r="6" customFormat="false" ht="15" hidden="false" customHeight="false" outlineLevel="0" collapsed="false">
      <c r="A6" s="7"/>
      <c r="B6" s="8" t="s">
        <v>2</v>
      </c>
      <c r="C6" s="8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</row>
    <row r="7" customFormat="false" ht="15" hidden="false" customHeight="false" outlineLevel="0" collapsed="false">
      <c r="A7" s="7"/>
      <c r="B7" s="9"/>
      <c r="C7" s="10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</row>
    <row r="8" customFormat="false" ht="15.75" hidden="false" customHeight="false" outlineLevel="0" collapsed="false">
      <c r="B8" s="11" t="s">
        <v>3</v>
      </c>
      <c r="C8" s="11"/>
    </row>
    <row r="10" customFormat="false" ht="12.75" hidden="false" customHeight="false" outlineLevel="0" collapsed="false">
      <c r="C10" s="12" t="s">
        <v>4</v>
      </c>
    </row>
    <row r="11" customFormat="false" ht="12.75" hidden="false" customHeight="false" outlineLevel="0" collapsed="false">
      <c r="B11" s="1" t="s">
        <v>5</v>
      </c>
      <c r="C11" s="13" t="n">
        <v>1</v>
      </c>
    </row>
    <row r="12" customFormat="false" ht="12.75" hidden="false" customHeight="false" outlineLevel="0" collapsed="false">
      <c r="B12" s="1" t="s">
        <v>6</v>
      </c>
      <c r="C12" s="13" t="s">
        <v>7</v>
      </c>
    </row>
    <row r="13" customFormat="false" ht="12.75" hidden="false" customHeight="false" outlineLevel="0" collapsed="false">
      <c r="B13" s="1" t="s">
        <v>8</v>
      </c>
      <c r="C13" s="13" t="s">
        <v>9</v>
      </c>
    </row>
    <row r="14" customFormat="false" ht="12.75" hidden="false" customHeight="false" outlineLevel="0" collapsed="false">
      <c r="B14" s="1" t="s">
        <v>10</v>
      </c>
      <c r="C14" s="13" t="s">
        <v>11</v>
      </c>
    </row>
    <row r="15" customFormat="false" ht="12.75" hidden="false" customHeight="false" outlineLevel="0" collapsed="false">
      <c r="B15" s="1" t="s">
        <v>12</v>
      </c>
      <c r="C15" s="13" t="s">
        <v>13</v>
      </c>
    </row>
    <row r="16" customFormat="false" ht="12.75" hidden="false" customHeight="false" outlineLevel="0" collapsed="false">
      <c r="B16" s="1" t="s">
        <v>14</v>
      </c>
      <c r="C16" s="13" t="s">
        <v>15</v>
      </c>
    </row>
    <row r="17" customFormat="false" ht="12.75" hidden="false" customHeight="false" outlineLevel="0" collapsed="false">
      <c r="B17" s="1" t="s">
        <v>16</v>
      </c>
      <c r="C17" s="13" t="s">
        <v>17</v>
      </c>
    </row>
    <row r="18" customFormat="false" ht="12.75" hidden="false" customHeight="false" outlineLevel="0" collapsed="false">
      <c r="B18" s="1" t="s">
        <v>18</v>
      </c>
      <c r="C18" s="13" t="s">
        <v>19</v>
      </c>
    </row>
    <row r="19" customFormat="false" ht="12.75" hidden="false" customHeight="false" outlineLevel="0" collapsed="false">
      <c r="B19" s="1" t="s">
        <v>20</v>
      </c>
      <c r="C19" s="13" t="s">
        <v>21</v>
      </c>
    </row>
    <row r="20" customFormat="false" ht="12.75" hidden="false" customHeight="false" outlineLevel="0" collapsed="false">
      <c r="B20" s="1" t="s">
        <v>22</v>
      </c>
      <c r="C20" s="13" t="s">
        <v>23</v>
      </c>
    </row>
    <row r="21" customFormat="false" ht="12.75" hidden="false" customHeight="false" outlineLevel="0" collapsed="false">
      <c r="B21" s="1" t="s">
        <v>24</v>
      </c>
      <c r="C21" s="13" t="s">
        <v>25</v>
      </c>
    </row>
    <row r="22" customFormat="false" ht="12.75" hidden="false" customHeight="false" outlineLevel="0" collapsed="false">
      <c r="B22" s="1" t="s">
        <v>26</v>
      </c>
      <c r="C22" s="13" t="s">
        <v>27</v>
      </c>
    </row>
    <row r="23" customFormat="false" ht="12.75" hidden="false" customHeight="false" outlineLevel="0" collapsed="false">
      <c r="B23" s="1" t="s">
        <v>28</v>
      </c>
      <c r="C23" s="13" t="s">
        <v>29</v>
      </c>
    </row>
    <row r="24" customFormat="false" ht="12.75" hidden="false" customHeight="false" outlineLevel="0" collapsed="false">
      <c r="B24" s="1" t="s">
        <v>30</v>
      </c>
      <c r="C24" s="13" t="s">
        <v>31</v>
      </c>
    </row>
    <row r="25" customFormat="false" ht="12.75" hidden="false" customHeight="false" outlineLevel="0" collapsed="false">
      <c r="B25" s="1" t="s">
        <v>32</v>
      </c>
      <c r="C25" s="13" t="s">
        <v>33</v>
      </c>
    </row>
    <row r="27" customFormat="false" ht="12.75" hidden="false" customHeight="false" outlineLevel="0" collapsed="false">
      <c r="B27" s="1" t="s">
        <v>34</v>
      </c>
    </row>
  </sheetData>
  <mergeCells count="5">
    <mergeCell ref="B2:C2"/>
    <mergeCell ref="B3:C3"/>
    <mergeCell ref="B4:C4"/>
    <mergeCell ref="B6:C6"/>
    <mergeCell ref="B8:C8"/>
  </mergeCells>
  <printOptions headings="false" gridLines="false" gridLinesSet="true" horizontalCentered="true" verticalCentered="false"/>
  <pageMargins left="0.25" right="0.25" top="1.25" bottom="0.7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Italic"Confidential</oddHeader>
    <oddFooter>&amp;L&amp;"Arial,Italic"Structurer: GLG
Directory: dev_fin/cemat/newexcel/(model date)
Filename: &amp;F
Tabname: &amp;A&amp;R&amp;"Arial,Italic"Date: &amp;D
Time: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4" ySplit="7" topLeftCell="S54" activePane="bottomRight" state="frozen"/>
      <selection pane="topLeft" activeCell="A1" activeCellId="0" sqref="A1"/>
      <selection pane="topRight" activeCell="S1" activeCellId="0" sqref="S1"/>
      <selection pane="bottomLeft" activeCell="A54" activeCellId="0" sqref="A54"/>
      <selection pane="bottomRight" activeCell="Y60" activeCellId="0" sqref="Y6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0.7"/>
    <col collapsed="false" customWidth="true" hidden="false" outlineLevel="0" max="2" min="2" style="1" width="9.7"/>
    <col collapsed="false" customWidth="true" hidden="false" outlineLevel="0" max="3" min="3" style="1" width="2.7"/>
    <col collapsed="false" customWidth="true" hidden="false" outlineLevel="0" max="40" min="4" style="1" width="9.7"/>
    <col collapsed="false" customWidth="true" hidden="false" outlineLevel="0" max="41" min="41" style="39" width="10.71"/>
    <col collapsed="false" customWidth="false" hidden="false" outlineLevel="0" max="42" min="42" style="1" width="9.14"/>
    <col collapsed="false" customWidth="true" hidden="false" outlineLevel="0" max="43" min="43" style="1" width="9.99"/>
    <col collapsed="false" customWidth="false" hidden="false" outlineLevel="0" max="257" min="44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469"/>
      <c r="Z1" s="116"/>
      <c r="AA1" s="116"/>
      <c r="AB1" s="108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108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469"/>
      <c r="Z2" s="116"/>
      <c r="AA2" s="116"/>
      <c r="AB2" s="108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108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69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69"/>
      <c r="W3" s="469"/>
      <c r="X3" s="469"/>
      <c r="Y3" s="469"/>
      <c r="Z3" s="116"/>
      <c r="AA3" s="116"/>
      <c r="AB3" s="108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108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676</v>
      </c>
      <c r="B4" s="21"/>
      <c r="C4" s="522"/>
      <c r="D4" s="448"/>
      <c r="E4" s="469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116"/>
      <c r="AA4" s="116"/>
      <c r="AB4" s="108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108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16"/>
      <c r="F5" s="116"/>
      <c r="G5" s="116"/>
      <c r="H5" s="116"/>
      <c r="I5" s="116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116"/>
      <c r="AB5" s="108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108"/>
      <c r="AP5" s="352" t="s">
        <v>319</v>
      </c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622</v>
      </c>
      <c r="B6" s="26"/>
      <c r="C6" s="26"/>
      <c r="D6" s="26"/>
      <c r="E6" s="766" t="n">
        <v>1</v>
      </c>
      <c r="F6" s="268" t="n">
        <f aca="false">E6+1</f>
        <v>2</v>
      </c>
      <c r="G6" s="268" t="n">
        <f aca="false">F6+1</f>
        <v>3</v>
      </c>
      <c r="H6" s="268" t="n">
        <f aca="false">G6+1</f>
        <v>4</v>
      </c>
      <c r="I6" s="268" t="n">
        <f aca="false">H6+1</f>
        <v>5</v>
      </c>
      <c r="J6" s="268" t="n">
        <f aca="false">I6+1</f>
        <v>6</v>
      </c>
      <c r="K6" s="268" t="n">
        <f aca="false">J6+1</f>
        <v>7</v>
      </c>
      <c r="L6" s="268" t="n">
        <f aca="false">K6+1</f>
        <v>8</v>
      </c>
      <c r="M6" s="268" t="n">
        <f aca="false">L6+1</f>
        <v>9</v>
      </c>
      <c r="N6" s="268" t="n">
        <f aca="false">M6+1</f>
        <v>10</v>
      </c>
      <c r="O6" s="268" t="n">
        <f aca="false">N6+1</f>
        <v>11</v>
      </c>
      <c r="P6" s="268" t="n">
        <f aca="false">O6+1</f>
        <v>12</v>
      </c>
      <c r="Q6" s="268" t="n">
        <f aca="false">P6+1</f>
        <v>13</v>
      </c>
      <c r="R6" s="268" t="n">
        <f aca="false">Q6+1</f>
        <v>14</v>
      </c>
      <c r="S6" s="268" t="n">
        <f aca="false">R6+1</f>
        <v>15</v>
      </c>
      <c r="T6" s="268" t="n">
        <f aca="false">S6+1</f>
        <v>16</v>
      </c>
      <c r="U6" s="268" t="n">
        <f aca="false">T6+1</f>
        <v>17</v>
      </c>
      <c r="V6" s="268" t="n">
        <f aca="false">U6+1</f>
        <v>18</v>
      </c>
      <c r="W6" s="268" t="n">
        <f aca="false">V6+1</f>
        <v>19</v>
      </c>
      <c r="X6" s="268" t="n">
        <f aca="false">W6+1</f>
        <v>20</v>
      </c>
      <c r="Y6" s="268" t="n">
        <f aca="false">X6+1</f>
        <v>21</v>
      </c>
      <c r="Z6" s="268" t="n">
        <f aca="false">Y6+1</f>
        <v>22</v>
      </c>
      <c r="AA6" s="268" t="n">
        <f aca="false">Z6+1</f>
        <v>23</v>
      </c>
      <c r="AB6" s="268" t="n">
        <f aca="false">AA6+1</f>
        <v>24</v>
      </c>
      <c r="AC6" s="268" t="n">
        <f aca="false">AB6+1</f>
        <v>25</v>
      </c>
      <c r="AD6" s="268" t="n">
        <f aca="false">AC6+1</f>
        <v>26</v>
      </c>
      <c r="AE6" s="268" t="n">
        <f aca="false">AD6+1</f>
        <v>27</v>
      </c>
      <c r="AF6" s="268" t="n">
        <f aca="false">AE6+1</f>
        <v>28</v>
      </c>
      <c r="AG6" s="268" t="n">
        <f aca="false">AF6+1</f>
        <v>29</v>
      </c>
      <c r="AH6" s="268" t="n">
        <f aca="false">AG6+1</f>
        <v>30</v>
      </c>
      <c r="AI6" s="268" t="n">
        <f aca="false">AH6+1</f>
        <v>31</v>
      </c>
      <c r="AJ6" s="268" t="n">
        <f aca="false">AI6+1</f>
        <v>32</v>
      </c>
      <c r="AK6" s="268" t="n">
        <f aca="false">AJ6+1</f>
        <v>33</v>
      </c>
      <c r="AL6" s="268" t="n">
        <f aca="false">AK6+1</f>
        <v>34</v>
      </c>
      <c r="AM6" s="268" t="n">
        <f aca="false">AL6+1</f>
        <v>35</v>
      </c>
      <c r="AN6" s="268" t="n">
        <f aca="false">AM6+1</f>
        <v>36</v>
      </c>
      <c r="AO6" s="767"/>
      <c r="AP6" s="768" t="s">
        <v>677</v>
      </c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624</v>
      </c>
      <c r="B7" s="769"/>
      <c r="C7" s="769"/>
      <c r="D7" s="769"/>
      <c r="E7" s="770" t="n">
        <f aca="false">Startconst</f>
        <v>35886</v>
      </c>
      <c r="F7" s="643" t="n">
        <f aca="false">EDATE(E$7,1)</f>
        <v>35916</v>
      </c>
      <c r="G7" s="643" t="n">
        <f aca="false">EDATE(F$7,1)</f>
        <v>35947</v>
      </c>
      <c r="H7" s="643" t="n">
        <f aca="false">EDATE(G$7,1)</f>
        <v>35977</v>
      </c>
      <c r="I7" s="643" t="n">
        <f aca="false">EDATE(H$7,1)</f>
        <v>36008</v>
      </c>
      <c r="J7" s="643" t="n">
        <f aca="false">EDATE(I$7,1)</f>
        <v>36039</v>
      </c>
      <c r="K7" s="643" t="n">
        <f aca="false">EDATE(J$7,1)</f>
        <v>36069</v>
      </c>
      <c r="L7" s="643" t="n">
        <f aca="false">EDATE(K$7,1)</f>
        <v>36100</v>
      </c>
      <c r="M7" s="643" t="n">
        <f aca="false">EDATE(L$7,1)</f>
        <v>36130</v>
      </c>
      <c r="N7" s="643" t="n">
        <f aca="false">EDATE(M$7,1)</f>
        <v>36161</v>
      </c>
      <c r="O7" s="643" t="n">
        <f aca="false">EDATE(N$7,1)</f>
        <v>36192</v>
      </c>
      <c r="P7" s="643" t="n">
        <f aca="false">EDATE(O$7,1)</f>
        <v>36220</v>
      </c>
      <c r="Q7" s="643" t="n">
        <f aca="false">EDATE(P$7,1)</f>
        <v>36251</v>
      </c>
      <c r="R7" s="643" t="n">
        <f aca="false">EDATE(Q$7,1)</f>
        <v>36281</v>
      </c>
      <c r="S7" s="643" t="n">
        <f aca="false">EDATE(R$7,1)</f>
        <v>36312</v>
      </c>
      <c r="T7" s="643" t="n">
        <f aca="false">EDATE(S$7,1)</f>
        <v>36342</v>
      </c>
      <c r="U7" s="643" t="n">
        <f aca="false">EDATE(T$7,1)</f>
        <v>36373</v>
      </c>
      <c r="V7" s="643" t="n">
        <f aca="false">EDATE(U$7,1)</f>
        <v>36404</v>
      </c>
      <c r="W7" s="643" t="n">
        <f aca="false">EDATE(V$7,1)</f>
        <v>36434</v>
      </c>
      <c r="X7" s="643" t="n">
        <f aca="false">EDATE(W$7,1)</f>
        <v>36465</v>
      </c>
      <c r="Y7" s="643" t="n">
        <f aca="false">EDATE(X$7,1)</f>
        <v>36495</v>
      </c>
      <c r="Z7" s="643" t="n">
        <f aca="false">EDATE(Y$7,1)</f>
        <v>36526</v>
      </c>
      <c r="AA7" s="643" t="n">
        <f aca="false">EDATE(Z$7,1)</f>
        <v>36557</v>
      </c>
      <c r="AB7" s="643" t="n">
        <f aca="false">EDATE(AA$7,1)</f>
        <v>36586</v>
      </c>
      <c r="AC7" s="643" t="n">
        <f aca="false">EDATE(AB$7,1)</f>
        <v>36617</v>
      </c>
      <c r="AD7" s="643" t="n">
        <f aca="false">EDATE(AC$7,1)</f>
        <v>36647</v>
      </c>
      <c r="AE7" s="643" t="n">
        <f aca="false">EDATE(AD$7,1)</f>
        <v>36678</v>
      </c>
      <c r="AF7" s="643" t="n">
        <f aca="false">EDATE(AE$7,1)</f>
        <v>36708</v>
      </c>
      <c r="AG7" s="643" t="n">
        <f aca="false">EDATE(AF$7,1)</f>
        <v>36739</v>
      </c>
      <c r="AH7" s="643" t="n">
        <f aca="false">EDATE(AG$7,1)</f>
        <v>36770</v>
      </c>
      <c r="AI7" s="643" t="n">
        <f aca="false">EDATE(AH$7,1)</f>
        <v>36800</v>
      </c>
      <c r="AJ7" s="643" t="n">
        <f aca="false">EDATE(AI$7,1)</f>
        <v>36831</v>
      </c>
      <c r="AK7" s="643" t="n">
        <f aca="false">EDATE(AJ$7,1)</f>
        <v>36861</v>
      </c>
      <c r="AL7" s="643" t="n">
        <f aca="false">EDATE(AK$7,1)</f>
        <v>36892</v>
      </c>
      <c r="AM7" s="643" t="n">
        <f aca="false">EDATE(AL$7,1)</f>
        <v>36923</v>
      </c>
      <c r="AN7" s="643" t="n">
        <f aca="false">EDATE(AM$7,1)</f>
        <v>36951</v>
      </c>
      <c r="AO7" s="293" t="s">
        <v>323</v>
      </c>
      <c r="AP7" s="771" t="n">
        <v>1</v>
      </c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85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298"/>
      <c r="AP8" s="310" t="n">
        <f aca="false">AP7+1</f>
        <v>2</v>
      </c>
    </row>
    <row r="9" customFormat="false" ht="12.75" hidden="false" customHeight="false" outlineLevel="0" collapsed="false">
      <c r="A9" s="506"/>
      <c r="B9" s="772" t="s">
        <v>678</v>
      </c>
      <c r="C9" s="772"/>
      <c r="D9" s="773" t="s">
        <v>42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298"/>
      <c r="AP9" s="310" t="n">
        <f aca="false">AP8+1</f>
        <v>3</v>
      </c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568" t="s">
        <v>679</v>
      </c>
      <c r="B10" s="774" t="n">
        <f aca="false">Est_Cost-Est_IDC-Est_Whtax</f>
        <v>118570.091726107</v>
      </c>
      <c r="C10" s="775"/>
      <c r="D10" s="776" t="n">
        <f aca="false">Est_Cost</f>
        <v>126558.004643692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298"/>
      <c r="AP10" s="310" t="n">
        <f aca="false">AP9+1</f>
        <v>4</v>
      </c>
    </row>
    <row r="11" customFormat="false" ht="12.75" hidden="false" customHeight="false" outlineLevel="0" collapsed="false">
      <c r="A11" s="568" t="s">
        <v>680</v>
      </c>
      <c r="B11" s="775"/>
      <c r="C11" s="775"/>
      <c r="D11" s="777" t="n">
        <f aca="false">Int_BL</f>
        <v>0.06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298"/>
      <c r="AP11" s="310" t="n">
        <f aca="false">AP10+1</f>
        <v>5</v>
      </c>
    </row>
    <row r="12" customFormat="false" ht="12.75" hidden="false" customHeight="false" outlineLevel="0" collapsed="false">
      <c r="A12" s="572" t="s">
        <v>681</v>
      </c>
      <c r="B12" s="573"/>
      <c r="C12" s="573"/>
      <c r="D12" s="778" t="n">
        <f aca="false">Assm!X73</f>
        <v>0.110125</v>
      </c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298"/>
      <c r="AP12" s="310" t="n">
        <f aca="false">AP11+1</f>
        <v>6</v>
      </c>
    </row>
    <row r="13" customFormat="false" ht="12.75" hidden="false" customHeight="false" outlineLevel="0" collapsed="false">
      <c r="A13" s="568" t="s">
        <v>682</v>
      </c>
      <c r="B13" s="403"/>
      <c r="C13" s="403"/>
      <c r="D13" s="779" t="n">
        <f aca="false">Assm!X59</f>
        <v>0.13</v>
      </c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298"/>
      <c r="AP13" s="310" t="n">
        <f aca="false">AP12+1</f>
        <v>7</v>
      </c>
    </row>
    <row r="14" customFormat="false" ht="12.75" hidden="false" customHeight="false" outlineLevel="0" collapsed="false">
      <c r="A14" s="37" t="s">
        <v>452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298"/>
      <c r="AP14" s="310" t="n">
        <f aca="false">AP13+1</f>
        <v>8</v>
      </c>
    </row>
    <row r="15" customFormat="false" ht="12.75" hidden="false" customHeight="false" outlineLevel="0" collapsed="false">
      <c r="A15" s="114" t="s">
        <v>683</v>
      </c>
      <c r="B15" s="39"/>
      <c r="C15" s="39"/>
      <c r="D15" s="39"/>
      <c r="E15" s="315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298"/>
      <c r="AP15" s="310" t="n">
        <f aca="false">AP14+1</f>
        <v>9</v>
      </c>
    </row>
    <row r="16" customFormat="false" ht="12.75" hidden="false" customHeight="false" outlineLevel="0" collapsed="false">
      <c r="A16" s="37" t="s">
        <v>472</v>
      </c>
      <c r="B16" s="39"/>
      <c r="C16" s="39"/>
      <c r="D16" s="39"/>
      <c r="E16" s="98" t="n">
        <v>0</v>
      </c>
      <c r="F16" s="61" t="n">
        <f aca="false">E20</f>
        <v>0</v>
      </c>
      <c r="G16" s="61" t="n">
        <f aca="false">F20</f>
        <v>260.869565217391</v>
      </c>
      <c r="H16" s="61" t="n">
        <f aca="false">G20</f>
        <v>629.927473601142</v>
      </c>
      <c r="I16" s="61" t="n">
        <f aca="false">H20</f>
        <v>629.927473601142</v>
      </c>
      <c r="J16" s="61" t="n">
        <f aca="false">I20</f>
        <v>629.927473601142</v>
      </c>
      <c r="K16" s="61" t="n">
        <f aca="false">J20</f>
        <v>629.927473601142</v>
      </c>
      <c r="L16" s="61" t="n">
        <f aca="false">K20</f>
        <v>629.927473601142</v>
      </c>
      <c r="M16" s="61" t="n">
        <f aca="false">L20</f>
        <v>3306.32525063045</v>
      </c>
      <c r="N16" s="61" t="n">
        <f aca="false">M20</f>
        <v>6637.97008564951</v>
      </c>
      <c r="O16" s="61" t="n">
        <f aca="false">N20</f>
        <v>9081.61729377134</v>
      </c>
      <c r="P16" s="61" t="n">
        <f aca="false">O20</f>
        <v>13393.9841089593</v>
      </c>
      <c r="Q16" s="61" t="n">
        <f aca="false">P20</f>
        <v>13393.9841089593</v>
      </c>
      <c r="R16" s="61" t="n">
        <f aca="false">Q20</f>
        <v>17608.5900436774</v>
      </c>
      <c r="S16" s="61" t="n">
        <f aca="false">R20</f>
        <v>17608.5900436774</v>
      </c>
      <c r="T16" s="61" t="n">
        <f aca="false">S20</f>
        <v>25342.272606846</v>
      </c>
      <c r="U16" s="61" t="n">
        <f aca="false">T20</f>
        <v>37718.2413438092</v>
      </c>
      <c r="V16" s="61" t="n">
        <f aca="false">U20</f>
        <v>38897.7188123463</v>
      </c>
      <c r="W16" s="61" t="n">
        <f aca="false">V20</f>
        <v>40938.024453766</v>
      </c>
      <c r="X16" s="61" t="n">
        <f aca="false">W20</f>
        <v>46642.212137937</v>
      </c>
      <c r="Y16" s="61" t="n">
        <f aca="false">X20</f>
        <v>52889.9152991462</v>
      </c>
      <c r="Z16" s="61" t="n">
        <f aca="false">Y20</f>
        <v>56348.7309319639</v>
      </c>
      <c r="AA16" s="61" t="n">
        <f aca="false">Z20</f>
        <v>62248.0132068335</v>
      </c>
      <c r="AB16" s="61" t="n">
        <f aca="false">AA20</f>
        <v>66966.534858087</v>
      </c>
      <c r="AC16" s="61" t="n">
        <f aca="false">AB20</f>
        <v>67459.7305709292</v>
      </c>
      <c r="AD16" s="61" t="n">
        <f aca="false">AC20</f>
        <v>72648.4969000009</v>
      </c>
      <c r="AE16" s="61" t="n">
        <f aca="false">AD20</f>
        <v>78154.4568753098</v>
      </c>
      <c r="AF16" s="61" t="n">
        <f aca="false">AE20</f>
        <v>83692.8048504735</v>
      </c>
      <c r="AG16" s="61" t="n">
        <f aca="false">AF20</f>
        <v>96866.4776520438</v>
      </c>
      <c r="AH16" s="61" t="n">
        <f aca="false">AG20</f>
        <v>102514.896337659</v>
      </c>
      <c r="AI16" s="61" t="n">
        <f aca="false">AH20</f>
        <v>109656.980467794</v>
      </c>
      <c r="AJ16" s="61" t="n">
        <f aca="false">AI20</f>
        <v>114605.080390032</v>
      </c>
      <c r="AK16" s="61" t="n">
        <f aca="false">AJ20</f>
        <v>119600.853684201</v>
      </c>
      <c r="AL16" s="61" t="n">
        <f aca="false">AK20</f>
        <v>124644.759668103</v>
      </c>
      <c r="AM16" s="61" t="n">
        <f aca="false">AL20</f>
        <v>125596.795872599</v>
      </c>
      <c r="AN16" s="61" t="n">
        <f aca="false">AM20</f>
        <v>126558.004643692</v>
      </c>
      <c r="AO16" s="304" t="n">
        <f aca="false">E16</f>
        <v>0</v>
      </c>
      <c r="AP16" s="310" t="n">
        <f aca="false">AP15+1</f>
        <v>10</v>
      </c>
    </row>
    <row r="17" customFormat="false" ht="12.75" hidden="false" customHeight="false" outlineLevel="0" collapsed="false">
      <c r="A17" s="37" t="s">
        <v>684</v>
      </c>
      <c r="B17" s="39"/>
      <c r="C17" s="39"/>
      <c r="D17" s="39"/>
      <c r="E17" s="61" t="n">
        <f aca="false">Drawdown!E48</f>
        <v>0</v>
      </c>
      <c r="F17" s="61" t="n">
        <f aca="false">Drawdown!F48</f>
        <v>260.869565217391</v>
      </c>
      <c r="G17" s="61" t="n">
        <f aca="false">Drawdown!G48</f>
        <v>369.057908383751</v>
      </c>
      <c r="H17" s="61" t="n">
        <f aca="false">Drawdown!H48</f>
        <v>0</v>
      </c>
      <c r="I17" s="61" t="n">
        <f aca="false">Drawdown!I48</f>
        <v>0</v>
      </c>
      <c r="J17" s="61" t="n">
        <f aca="false">Drawdown!J48</f>
        <v>0</v>
      </c>
      <c r="K17" s="61" t="n">
        <f aca="false">Drawdown!K48</f>
        <v>0</v>
      </c>
      <c r="L17" s="61" t="n">
        <f aca="false">Drawdown!L48</f>
        <v>2676.3977770293</v>
      </c>
      <c r="M17" s="61" t="n">
        <f aca="false">Drawdown!M48</f>
        <v>3331.64483501907</v>
      </c>
      <c r="N17" s="61" t="n">
        <f aca="false">Drawdown!N48</f>
        <v>2443.64720812183</v>
      </c>
      <c r="O17" s="61" t="n">
        <f aca="false">Drawdown!O48</f>
        <v>4312.36681518791</v>
      </c>
      <c r="P17" s="61" t="n">
        <f aca="false">Drawdown!P48</f>
        <v>0</v>
      </c>
      <c r="Q17" s="61" t="n">
        <f aca="false">Drawdown!Q48</f>
        <v>4214.6059347181</v>
      </c>
      <c r="R17" s="61" t="n">
        <f aca="false">Drawdown!R48</f>
        <v>0</v>
      </c>
      <c r="S17" s="61" t="n">
        <f aca="false">Drawdown!S48</f>
        <v>7733.68256316868</v>
      </c>
      <c r="T17" s="61" t="n">
        <f aca="false">Drawdown!T48</f>
        <v>12350.7847823691</v>
      </c>
      <c r="U17" s="61" t="n">
        <f aca="false">Drawdown!U48</f>
        <v>1125.65068114202</v>
      </c>
      <c r="V17" s="61" t="n">
        <f aca="false">Drawdown!V48</f>
        <v>1977.03667481663</v>
      </c>
      <c r="W17" s="61" t="n">
        <f aca="false">Drawdown!W48</f>
        <v>5618.20759344598</v>
      </c>
      <c r="X17" s="61" t="n">
        <f aca="false">Drawdown!X48</f>
        <v>6126.67353721329</v>
      </c>
      <c r="Y17" s="61" t="n">
        <f aca="false">Drawdown!Y48</f>
        <v>3309.32114432313</v>
      </c>
      <c r="Z17" s="61" t="n">
        <f aca="false">Drawdown!Z48</f>
        <v>5722.34468400638</v>
      </c>
      <c r="AA17" s="61" t="n">
        <f aca="false">Drawdown!AA48</f>
        <v>4510.44680547504</v>
      </c>
      <c r="AB17" s="61" t="n">
        <f aca="false">Drawdown!AB48</f>
        <v>269.837238430088</v>
      </c>
      <c r="AC17" s="61" t="n">
        <f aca="false">Drawdown!AC48</f>
        <v>4948.74520937534</v>
      </c>
      <c r="AD17" s="61" t="n">
        <f aca="false">Drawdown!AD48</f>
        <v>5234.57602187534</v>
      </c>
      <c r="AE17" s="61" t="n">
        <f aca="false">Drawdown!AE48</f>
        <v>5234.57602187534</v>
      </c>
      <c r="AF17" s="61" t="n">
        <f aca="false">Drawdown!AF48</f>
        <v>12815.0268870599</v>
      </c>
      <c r="AG17" s="61" t="n">
        <f aca="false">Drawdown!AG48</f>
        <v>5234.57602187534</v>
      </c>
      <c r="AH17" s="61" t="n">
        <f aca="false">Drawdown!AH48</f>
        <v>6379.08665794585</v>
      </c>
      <c r="AI17" s="61" t="n">
        <f aca="false">Drawdown!AI48</f>
        <v>4125.16658587027</v>
      </c>
      <c r="AJ17" s="61" t="n">
        <f aca="false">Drawdown!AJ48</f>
        <v>4123.54421243138</v>
      </c>
      <c r="AK17" s="61" t="n">
        <f aca="false">Drawdown!AK48</f>
        <v>4121.90620793945</v>
      </c>
      <c r="AL17" s="61" t="n">
        <f aca="false">Drawdown!AL48</f>
        <v>0.312151790648433</v>
      </c>
      <c r="AM17" s="61" t="n">
        <f aca="false">Drawdown!AM48</f>
        <v>-5.54223333892878E-015</v>
      </c>
      <c r="AN17" s="61" t="n">
        <f aca="false">Drawdown!AN48</f>
        <v>-5.54143367155008E-015</v>
      </c>
      <c r="AO17" s="304" t="n">
        <f aca="false">SUM(E17:AN17)</f>
        <v>118570.091726107</v>
      </c>
      <c r="AP17" s="310" t="n">
        <f aca="false">AP16+1</f>
        <v>11</v>
      </c>
      <c r="AQ17" s="780"/>
    </row>
    <row r="18" customFormat="false" ht="12.75" hidden="false" customHeight="false" outlineLevel="0" collapsed="false">
      <c r="A18" s="37" t="s">
        <v>20</v>
      </c>
      <c r="B18" s="39"/>
      <c r="C18" s="39"/>
      <c r="D18" s="39"/>
      <c r="E18" s="61" t="n">
        <f aca="false">E51</f>
        <v>0</v>
      </c>
      <c r="F18" s="61" t="n">
        <f aca="false">F51</f>
        <v>0</v>
      </c>
      <c r="G18" s="61" t="n">
        <f aca="false">G51</f>
        <v>0</v>
      </c>
      <c r="H18" s="61" t="n">
        <f aca="false">H51</f>
        <v>0</v>
      </c>
      <c r="I18" s="61" t="n">
        <f aca="false">I51</f>
        <v>0</v>
      </c>
      <c r="J18" s="61" t="n">
        <f aca="false">J51</f>
        <v>0</v>
      </c>
      <c r="K18" s="61" t="n">
        <f aca="false">K51</f>
        <v>0</v>
      </c>
      <c r="L18" s="61" t="n">
        <f aca="false">L51</f>
        <v>0</v>
      </c>
      <c r="M18" s="61" t="n">
        <f aca="false">M51</f>
        <v>0</v>
      </c>
      <c r="N18" s="61" t="n">
        <f aca="false">N51</f>
        <v>0</v>
      </c>
      <c r="O18" s="61" t="n">
        <f aca="false">O51</f>
        <v>0</v>
      </c>
      <c r="P18" s="61" t="n">
        <f aca="false">P51</f>
        <v>0</v>
      </c>
      <c r="Q18" s="61" t="n">
        <f aca="false">Q51</f>
        <v>0</v>
      </c>
      <c r="R18" s="61" t="n">
        <f aca="false">R51</f>
        <v>0</v>
      </c>
      <c r="S18" s="61" t="n">
        <f aca="false">S51</f>
        <v>0</v>
      </c>
      <c r="T18" s="61" t="n">
        <f aca="false">T51</f>
        <v>21.4063614049587</v>
      </c>
      <c r="U18" s="61" t="n">
        <f aca="false">U51</f>
        <v>45.7527692857428</v>
      </c>
      <c r="V18" s="61" t="n">
        <f aca="false">V51</f>
        <v>53.7786216126143</v>
      </c>
      <c r="W18" s="61" t="n">
        <f aca="false">W51</f>
        <v>73.0830771162862</v>
      </c>
      <c r="X18" s="61" t="n">
        <f aca="false">X51</f>
        <v>102.87518039656</v>
      </c>
      <c r="Y18" s="61" t="n">
        <f aca="false">Y51</f>
        <v>127.07031522038</v>
      </c>
      <c r="Z18" s="61" t="n">
        <f aca="false">Z51</f>
        <v>150.396952233677</v>
      </c>
      <c r="AA18" s="61" t="n">
        <f aca="false">AA51</f>
        <v>176.863618911696</v>
      </c>
      <c r="AB18" s="61" t="n">
        <f aca="false">AB51</f>
        <v>189.854703250351</v>
      </c>
      <c r="AC18" s="61" t="n">
        <f aca="false">AC51</f>
        <v>204.017951741926</v>
      </c>
      <c r="AD18" s="61" t="n">
        <f aca="false">AD51</f>
        <v>230.676360418535</v>
      </c>
      <c r="AE18" s="61" t="n">
        <f aca="false">AE51</f>
        <v>258.206160295079</v>
      </c>
      <c r="AF18" s="61" t="n">
        <f aca="false">AF51</f>
        <v>304.849027333859</v>
      </c>
      <c r="AG18" s="61" t="n">
        <f aca="false">AG51</f>
        <v>351.766264178749</v>
      </c>
      <c r="AH18" s="61" t="n">
        <f aca="false">AH51</f>
        <v>730.703267655159</v>
      </c>
      <c r="AI18" s="61" t="n">
        <f aca="false">AI51</f>
        <v>788.102319947805</v>
      </c>
      <c r="AJ18" s="61" t="n">
        <f aca="false">AJ51</f>
        <v>835.311601152085</v>
      </c>
      <c r="AK18" s="61" t="n">
        <f aca="false">AK51</f>
        <v>882.975728793741</v>
      </c>
      <c r="AL18" s="61" t="n">
        <f aca="false">AL51</f>
        <v>911.44191241218</v>
      </c>
      <c r="AM18" s="61" t="n">
        <f aca="false">AM51</f>
        <v>920.525185911306</v>
      </c>
      <c r="AN18" s="61" t="n">
        <f aca="false">AN51</f>
        <v>0</v>
      </c>
      <c r="AO18" s="304" t="n">
        <f aca="false">SUM(E18:AN18)</f>
        <v>7359.65737927269</v>
      </c>
      <c r="AP18" s="310" t="n">
        <f aca="false">AP17+1</f>
        <v>12</v>
      </c>
    </row>
    <row r="19" customFormat="false" ht="12.75" hidden="false" customHeight="false" outlineLevel="0" collapsed="false">
      <c r="A19" s="37" t="s">
        <v>69</v>
      </c>
      <c r="B19" s="39"/>
      <c r="C19" s="39"/>
      <c r="D19" s="39"/>
      <c r="E19" s="306" t="n">
        <f aca="false">E53</f>
        <v>0</v>
      </c>
      <c r="F19" s="306" t="n">
        <f aca="false">F53</f>
        <v>0</v>
      </c>
      <c r="G19" s="306" t="n">
        <f aca="false">G53</f>
        <v>0</v>
      </c>
      <c r="H19" s="306" t="n">
        <f aca="false">H53</f>
        <v>0</v>
      </c>
      <c r="I19" s="306" t="n">
        <f aca="false">I53</f>
        <v>0</v>
      </c>
      <c r="J19" s="306" t="n">
        <f aca="false">J53</f>
        <v>0</v>
      </c>
      <c r="K19" s="306" t="n">
        <f aca="false">K53</f>
        <v>0</v>
      </c>
      <c r="L19" s="306" t="n">
        <f aca="false">L53</f>
        <v>0</v>
      </c>
      <c r="M19" s="306" t="n">
        <f aca="false">M53</f>
        <v>0</v>
      </c>
      <c r="N19" s="306" t="n">
        <f aca="false">N53</f>
        <v>0</v>
      </c>
      <c r="O19" s="306" t="n">
        <f aca="false">O53</f>
        <v>0</v>
      </c>
      <c r="P19" s="306" t="n">
        <f aca="false">P53</f>
        <v>0</v>
      </c>
      <c r="Q19" s="306" t="n">
        <f aca="false">Q53</f>
        <v>0</v>
      </c>
      <c r="R19" s="306" t="n">
        <f aca="false">R53</f>
        <v>0</v>
      </c>
      <c r="S19" s="306" t="n">
        <f aca="false">S53</f>
        <v>0</v>
      </c>
      <c r="T19" s="306" t="n">
        <f aca="false">T53</f>
        <v>3.77759318911035</v>
      </c>
      <c r="U19" s="306" t="n">
        <f aca="false">U53</f>
        <v>8.07401810924872</v>
      </c>
      <c r="V19" s="306" t="n">
        <f aca="false">V53</f>
        <v>9.49034499046135</v>
      </c>
      <c r="W19" s="306" t="n">
        <f aca="false">W53</f>
        <v>12.8970136087564</v>
      </c>
      <c r="X19" s="306" t="n">
        <f aca="false">X53</f>
        <v>18.1544435993929</v>
      </c>
      <c r="Y19" s="306" t="n">
        <f aca="false">Y53</f>
        <v>22.4241732741848</v>
      </c>
      <c r="Z19" s="306" t="n">
        <f aca="false">Z53</f>
        <v>26.5406386294724</v>
      </c>
      <c r="AA19" s="306" t="n">
        <f aca="false">AA53</f>
        <v>31.2112268667699</v>
      </c>
      <c r="AB19" s="306" t="n">
        <f aca="false">AB53</f>
        <v>33.5037711618267</v>
      </c>
      <c r="AC19" s="306" t="n">
        <f aca="false">AC53</f>
        <v>36.0031679544575</v>
      </c>
      <c r="AD19" s="306" t="n">
        <f aca="false">AD53</f>
        <v>40.7075930150355</v>
      </c>
      <c r="AE19" s="306" t="n">
        <f aca="false">AE53</f>
        <v>45.5657929932493</v>
      </c>
      <c r="AF19" s="306" t="n">
        <f aca="false">AF53</f>
        <v>53.7968871765633</v>
      </c>
      <c r="AG19" s="306" t="n">
        <f aca="false">AG53</f>
        <v>62.0763995609557</v>
      </c>
      <c r="AH19" s="306" t="n">
        <f aca="false">AH53</f>
        <v>32.2942045338416</v>
      </c>
      <c r="AI19" s="306" t="n">
        <f aca="false">AI53</f>
        <v>34.8310164201984</v>
      </c>
      <c r="AJ19" s="306" t="n">
        <f aca="false">AJ53</f>
        <v>36.9174805850557</v>
      </c>
      <c r="AK19" s="306" t="n">
        <f aca="false">AK53</f>
        <v>39.024047169774</v>
      </c>
      <c r="AL19" s="306" t="n">
        <f aca="false">AL53</f>
        <v>40.2821402928851</v>
      </c>
      <c r="AM19" s="306" t="n">
        <f aca="false">AM53</f>
        <v>40.6835851819423</v>
      </c>
      <c r="AN19" s="306" t="n">
        <f aca="false">AN53</f>
        <v>0</v>
      </c>
      <c r="AO19" s="307" t="n">
        <f aca="false">SUM(E19:AN19)</f>
        <v>628.255538313182</v>
      </c>
      <c r="AP19" s="310" t="n">
        <f aca="false">AP18+1</f>
        <v>13</v>
      </c>
    </row>
    <row r="20" customFormat="false" ht="12.75" hidden="false" customHeight="false" outlineLevel="0" collapsed="false">
      <c r="A20" s="37" t="s">
        <v>476</v>
      </c>
      <c r="B20" s="39"/>
      <c r="C20" s="39"/>
      <c r="D20" s="39"/>
      <c r="E20" s="61" t="n">
        <f aca="false">SUM(E16:E19)</f>
        <v>0</v>
      </c>
      <c r="F20" s="61" t="n">
        <f aca="false">SUM(F16:F19)</f>
        <v>260.869565217391</v>
      </c>
      <c r="G20" s="61" t="n">
        <f aca="false">SUM(G16:G19)</f>
        <v>629.927473601142</v>
      </c>
      <c r="H20" s="61" t="n">
        <f aca="false">SUM(H16:H19)</f>
        <v>629.927473601142</v>
      </c>
      <c r="I20" s="61" t="n">
        <f aca="false">SUM(I16:I19)</f>
        <v>629.927473601142</v>
      </c>
      <c r="J20" s="61" t="n">
        <f aca="false">SUM(J16:J19)</f>
        <v>629.927473601142</v>
      </c>
      <c r="K20" s="61" t="n">
        <f aca="false">SUM(K16:K19)</f>
        <v>629.927473601142</v>
      </c>
      <c r="L20" s="61" t="n">
        <f aca="false">SUM(L16:L19)</f>
        <v>3306.32525063045</v>
      </c>
      <c r="M20" s="61" t="n">
        <f aca="false">SUM(M16:M19)</f>
        <v>6637.97008564951</v>
      </c>
      <c r="N20" s="61" t="n">
        <f aca="false">SUM(N16:N19)</f>
        <v>9081.61729377134</v>
      </c>
      <c r="O20" s="61" t="n">
        <f aca="false">SUM(O16:O19)</f>
        <v>13393.9841089593</v>
      </c>
      <c r="P20" s="61" t="n">
        <f aca="false">SUM(P16:P19)</f>
        <v>13393.9841089593</v>
      </c>
      <c r="Q20" s="61" t="n">
        <f aca="false">SUM(Q16:Q19)</f>
        <v>17608.5900436774</v>
      </c>
      <c r="R20" s="61" t="n">
        <f aca="false">SUM(R16:R19)</f>
        <v>17608.5900436774</v>
      </c>
      <c r="S20" s="61" t="n">
        <f aca="false">SUM(S16:S19)</f>
        <v>25342.272606846</v>
      </c>
      <c r="T20" s="61" t="n">
        <f aca="false">SUM(T16:T19)</f>
        <v>37718.2413438092</v>
      </c>
      <c r="U20" s="61" t="n">
        <f aca="false">SUM(U16:U19)</f>
        <v>38897.7188123463</v>
      </c>
      <c r="V20" s="61" t="n">
        <f aca="false">SUM(V16:V19)</f>
        <v>40938.024453766</v>
      </c>
      <c r="W20" s="61" t="n">
        <f aca="false">SUM(W16:W19)</f>
        <v>46642.212137937</v>
      </c>
      <c r="X20" s="61" t="n">
        <f aca="false">SUM(X16:X19)</f>
        <v>52889.9152991462</v>
      </c>
      <c r="Y20" s="61" t="n">
        <f aca="false">SUM(Y16:Y19)</f>
        <v>56348.7309319639</v>
      </c>
      <c r="Z20" s="61" t="n">
        <f aca="false">SUM(Z16:Z19)</f>
        <v>62248.0132068335</v>
      </c>
      <c r="AA20" s="61" t="n">
        <f aca="false">SUM(AA16:AA19)</f>
        <v>66966.534858087</v>
      </c>
      <c r="AB20" s="61" t="n">
        <f aca="false">SUM(AB16:AB19)</f>
        <v>67459.7305709292</v>
      </c>
      <c r="AC20" s="61" t="n">
        <f aca="false">SUM(AC16:AC19)</f>
        <v>72648.4969000009</v>
      </c>
      <c r="AD20" s="61" t="n">
        <f aca="false">SUM(AD16:AD19)</f>
        <v>78154.4568753098</v>
      </c>
      <c r="AE20" s="61" t="n">
        <f aca="false">SUM(AE16:AE19)</f>
        <v>83692.8048504735</v>
      </c>
      <c r="AF20" s="61" t="n">
        <f aca="false">SUM(AF16:AF19)</f>
        <v>96866.4776520438</v>
      </c>
      <c r="AG20" s="61" t="n">
        <f aca="false">SUM(AG16:AG19)</f>
        <v>102514.896337659</v>
      </c>
      <c r="AH20" s="61" t="n">
        <f aca="false">SUM(AH16:AH19)</f>
        <v>109656.980467794</v>
      </c>
      <c r="AI20" s="61" t="n">
        <f aca="false">SUM(AI16:AI19)</f>
        <v>114605.080390032</v>
      </c>
      <c r="AJ20" s="61" t="n">
        <f aca="false">SUM(AJ16:AJ19)</f>
        <v>119600.853684201</v>
      </c>
      <c r="AK20" s="61" t="n">
        <f aca="false">SUM(AK16:AK19)</f>
        <v>124644.759668103</v>
      </c>
      <c r="AL20" s="61" t="n">
        <f aca="false">SUM(AL16:AL19)</f>
        <v>125596.795872599</v>
      </c>
      <c r="AM20" s="61" t="n">
        <f aca="false">SUM(AM16:AM19)</f>
        <v>126558.004643692</v>
      </c>
      <c r="AN20" s="61" t="n">
        <f aca="false">SUM(AN16:AN19)</f>
        <v>126558.004643692</v>
      </c>
      <c r="AO20" s="304" t="n">
        <f aca="false">SUM(AO16:AO19)</f>
        <v>126558.004643692</v>
      </c>
      <c r="AP20" s="310" t="n">
        <f aca="false">AP19+1</f>
        <v>14</v>
      </c>
    </row>
    <row r="21" customFormat="false" ht="12.75" hidden="false" customHeight="false" outlineLevel="0" collapsed="false">
      <c r="A21" s="37" t="s">
        <v>685</v>
      </c>
      <c r="B21" s="39"/>
      <c r="C21" s="39"/>
      <c r="D21" s="39"/>
      <c r="E21" s="781" t="n">
        <f aca="false">SUM($E$17:E17)/$B$10</f>
        <v>0</v>
      </c>
      <c r="F21" s="781" t="n">
        <f aca="false">SUM($E$17:F17)/$B$10</f>
        <v>0.00220012957247256</v>
      </c>
      <c r="G21" s="781" t="n">
        <f aca="false">SUM($E$17:G17)/$B$10</f>
        <v>0.00531270124220074</v>
      </c>
      <c r="H21" s="781" t="n">
        <f aca="false">SUM($E$17:H17)/$B$10</f>
        <v>0.00531270124220074</v>
      </c>
      <c r="I21" s="781" t="n">
        <f aca="false">SUM($E$17:I17)/$B$10</f>
        <v>0.00531270124220074</v>
      </c>
      <c r="J21" s="781" t="n">
        <f aca="false">SUM($E$17:J17)/$B$10</f>
        <v>0.00531270124220074</v>
      </c>
      <c r="K21" s="781" t="n">
        <f aca="false">SUM($E$17:K17)/$B$10</f>
        <v>0.00531270124220074</v>
      </c>
      <c r="L21" s="781" t="n">
        <f aca="false">SUM($E$17:L17)/$B$10</f>
        <v>0.0278849851804784</v>
      </c>
      <c r="M21" s="781" t="n">
        <f aca="false">SUM($E$17:M17)/$B$10</f>
        <v>0.0559835114320653</v>
      </c>
      <c r="N21" s="781" t="n">
        <f aca="false">SUM($E$17:N17)/$B$10</f>
        <v>0.0765928166333008</v>
      </c>
      <c r="O21" s="781" t="n">
        <f aca="false">SUM($E$17:O17)/$B$10</f>
        <v>0.11296258537017</v>
      </c>
      <c r="P21" s="781" t="n">
        <f aca="false">SUM($E$17:P17)/$B$10</f>
        <v>0.11296258537017</v>
      </c>
      <c r="Q21" s="781" t="n">
        <f aca="false">SUM($E$17:Q17)/$B$10</f>
        <v>0.148507855457788</v>
      </c>
      <c r="R21" s="781" t="n">
        <f aca="false">SUM($E$17:R17)/$B$10</f>
        <v>0.148507855457788</v>
      </c>
      <c r="S21" s="781" t="n">
        <f aca="false">SUM($E$17:S17)/$B$10</f>
        <v>0.213732419684603</v>
      </c>
      <c r="T21" s="781" t="n">
        <f aca="false">SUM($E$17:T17)/$B$10</f>
        <v>0.317896839249185</v>
      </c>
      <c r="U21" s="781" t="n">
        <f aca="false">SUM($E$17:U17)/$B$10</f>
        <v>0.327390385764627</v>
      </c>
      <c r="V21" s="781" t="n">
        <f aca="false">SUM($E$17:V17)/$B$10</f>
        <v>0.34406437703878</v>
      </c>
      <c r="W21" s="781" t="n">
        <f aca="false">SUM($E$17:W17)/$B$10</f>
        <v>0.391447384942863</v>
      </c>
      <c r="X21" s="781" t="n">
        <f aca="false">SUM($E$17:X17)/$B$10</f>
        <v>0.44311870819161</v>
      </c>
      <c r="Y21" s="781" t="n">
        <f aca="false">SUM($E$17:Y17)/$B$10</f>
        <v>0.471028960230274</v>
      </c>
      <c r="Z21" s="781" t="n">
        <f aca="false">SUM($E$17:Z17)/$B$10</f>
        <v>0.519290242655735</v>
      </c>
      <c r="AA21" s="781" t="n">
        <f aca="false">SUM($E$17:AA17)/$B$10</f>
        <v>0.557330584362596</v>
      </c>
      <c r="AB21" s="781" t="n">
        <f aca="false">SUM($E$17:AB17)/$B$10</f>
        <v>0.55960634576669</v>
      </c>
      <c r="AC21" s="781" t="n">
        <f aca="false">SUM($E$17:AC17)/$B$10</f>
        <v>0.601343221713508</v>
      </c>
      <c r="AD21" s="781" t="n">
        <f aca="false">SUM($E$17:AD17)/$B$10</f>
        <v>0.645490746149662</v>
      </c>
      <c r="AE21" s="781" t="n">
        <f aca="false">SUM($E$17:AE17)/$B$10</f>
        <v>0.689638270585816</v>
      </c>
      <c r="AF21" s="781" t="n">
        <f aca="false">SUM($E$17:AF17)/$B$10</f>
        <v>0.797718029153114</v>
      </c>
      <c r="AG21" s="781" t="n">
        <f aca="false">SUM($E$17:AG17)/$B$10</f>
        <v>0.841865553589268</v>
      </c>
      <c r="AH21" s="781" t="n">
        <f aca="false">SUM($E$17:AH17)/$B$10</f>
        <v>0.895665686195063</v>
      </c>
      <c r="AI21" s="781" t="n">
        <f aca="false">SUM($E$17:AI17)/$B$10</f>
        <v>0.930456640016701</v>
      </c>
      <c r="AJ21" s="781" t="n">
        <f aca="false">SUM($E$17:AJ17)/$B$10</f>
        <v>0.965233911016513</v>
      </c>
      <c r="AK21" s="781" t="n">
        <f aca="false">SUM($E$17:AK17)/$B$10</f>
        <v>0.999997367364855</v>
      </c>
      <c r="AL21" s="781" t="n">
        <f aca="false">SUM($E$17:AL17)/$B$10</f>
        <v>1</v>
      </c>
      <c r="AM21" s="781" t="n">
        <f aca="false">SUM($E$17:AM17)/$B$10</f>
        <v>1</v>
      </c>
      <c r="AN21" s="781" t="n">
        <f aca="false">SUM($E$17:AN17)/$B$10</f>
        <v>1</v>
      </c>
      <c r="AO21" s="298"/>
      <c r="AP21" s="310" t="n">
        <f aca="false">AP20+1</f>
        <v>15</v>
      </c>
    </row>
    <row r="22" customFormat="false" ht="12.75" hidden="false" customHeight="false" outlineLevel="0" collapsed="false">
      <c r="A22" s="37" t="s">
        <v>686</v>
      </c>
      <c r="B22" s="39"/>
      <c r="C22" s="39"/>
      <c r="D22" s="39"/>
      <c r="E22" s="781" t="n">
        <f aca="false">E20/$D$10</f>
        <v>0</v>
      </c>
      <c r="F22" s="781" t="n">
        <f aca="false">F20/$D$10</f>
        <v>0.00206126484019589</v>
      </c>
      <c r="G22" s="781" t="n">
        <f aca="false">G20/$D$10</f>
        <v>0.00497738152062859</v>
      </c>
      <c r="H22" s="781" t="n">
        <f aca="false">H20/$D$10</f>
        <v>0.00497738152062859</v>
      </c>
      <c r="I22" s="781" t="n">
        <f aca="false">I20/$D$10</f>
        <v>0.00497738152062859</v>
      </c>
      <c r="J22" s="781" t="n">
        <f aca="false">J20/$D$10</f>
        <v>0.00497738152062859</v>
      </c>
      <c r="K22" s="781" t="n">
        <f aca="false">K20/$D$10</f>
        <v>0.00497738152062859</v>
      </c>
      <c r="L22" s="781" t="n">
        <f aca="false">L20/$D$10</f>
        <v>0.0261249792926095</v>
      </c>
      <c r="M22" s="781" t="n">
        <f aca="false">M20/$D$10</f>
        <v>0.0524500216666489</v>
      </c>
      <c r="N22" s="781" t="n">
        <f aca="false">N20/$D$10</f>
        <v>0.0717585372757689</v>
      </c>
      <c r="O22" s="781" t="n">
        <f aca="false">O20/$D$10</f>
        <v>0.105832769303437</v>
      </c>
      <c r="P22" s="781" t="n">
        <f aca="false">P20/$D$10</f>
        <v>0.105832769303437</v>
      </c>
      <c r="Q22" s="781" t="n">
        <f aca="false">Q20/$D$10</f>
        <v>0.13913454224608</v>
      </c>
      <c r="R22" s="781" t="n">
        <f aca="false">R20/$D$10</f>
        <v>0.13913454224608</v>
      </c>
      <c r="S22" s="781" t="n">
        <f aca="false">S20/$D$10</f>
        <v>0.200242352731413</v>
      </c>
      <c r="T22" s="781" t="n">
        <f aca="false">T20/$D$10</f>
        <v>0.298031258078065</v>
      </c>
      <c r="U22" s="781" t="n">
        <f aca="false">U20/$D$10</f>
        <v>0.307350917248243</v>
      </c>
      <c r="V22" s="781" t="n">
        <f aca="false">V20/$D$10</f>
        <v>0.323472423328905</v>
      </c>
      <c r="W22" s="781" t="n">
        <f aca="false">W20/$D$10</f>
        <v>0.368544149137402</v>
      </c>
      <c r="X22" s="781" t="n">
        <f aca="false">X20/$D$10</f>
        <v>0.41791047076043</v>
      </c>
      <c r="Y22" s="781" t="n">
        <f aca="false">Y20/$D$10</f>
        <v>0.44524035512891</v>
      </c>
      <c r="Z22" s="781" t="n">
        <f aca="false">Z20/$D$10</f>
        <v>0.491853623815298</v>
      </c>
      <c r="AA22" s="781" t="n">
        <f aca="false">AA20/$D$10</f>
        <v>0.52913709446212</v>
      </c>
      <c r="AB22" s="781" t="n">
        <f aca="false">AB20/$D$10</f>
        <v>0.533034087893953</v>
      </c>
      <c r="AC22" s="781" t="n">
        <f aca="false">AC20/$D$10</f>
        <v>0.574033204020033</v>
      </c>
      <c r="AD22" s="781" t="n">
        <f aca="false">AD20/$D$10</f>
        <v>0.617538630569781</v>
      </c>
      <c r="AE22" s="781" t="n">
        <f aca="false">AE20/$D$10</f>
        <v>0.661299971393352</v>
      </c>
      <c r="AF22" s="781" t="n">
        <f aca="false">AF20/$D$10</f>
        <v>0.765391947548152</v>
      </c>
      <c r="AG22" s="781" t="n">
        <f aca="false">AG20/$D$10</f>
        <v>0.810023013765713</v>
      </c>
      <c r="AH22" s="781" t="n">
        <f aca="false">AH20/$D$10</f>
        <v>0.866456300227857</v>
      </c>
      <c r="AI22" s="781" t="n">
        <f aca="false">AI20/$D$10</f>
        <v>0.905553787077219</v>
      </c>
      <c r="AJ22" s="781" t="n">
        <f aca="false">AJ20/$D$10</f>
        <v>0.945027965800513</v>
      </c>
      <c r="AK22" s="781" t="n">
        <f aca="false">AK20/$D$10</f>
        <v>0.984882465704359</v>
      </c>
      <c r="AL22" s="781" t="n">
        <f aca="false">AL20/$D$10</f>
        <v>0.992404994264888</v>
      </c>
      <c r="AM22" s="781" t="n">
        <f aca="false">AM20/$D$10</f>
        <v>1</v>
      </c>
      <c r="AN22" s="781" t="n">
        <f aca="false">AN20/$D$10</f>
        <v>1</v>
      </c>
      <c r="AO22" s="298"/>
      <c r="AP22" s="310" t="n">
        <f aca="false">AP21+1</f>
        <v>16</v>
      </c>
    </row>
    <row r="23" customFormat="false" ht="12.75" hidden="false" customHeight="false" outlineLevel="0" collapsed="false">
      <c r="A23" s="37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98"/>
      <c r="AP23" s="310" t="n">
        <f aca="false">AP22+1</f>
        <v>17</v>
      </c>
    </row>
    <row r="24" customFormat="false" ht="12.75" hidden="false" customHeight="false" outlineLevel="0" collapsed="false">
      <c r="A24" s="114" t="s">
        <v>687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298"/>
      <c r="AP24" s="310" t="n">
        <f aca="false">AP23+1</f>
        <v>18</v>
      </c>
    </row>
    <row r="25" customFormat="false" ht="12.75" hidden="false" customHeight="false" outlineLevel="0" collapsed="false">
      <c r="A25" s="37" t="s">
        <v>472</v>
      </c>
      <c r="B25" s="39"/>
      <c r="C25" s="39"/>
      <c r="D25" s="39"/>
      <c r="E25" s="98" t="n">
        <v>0</v>
      </c>
      <c r="F25" s="61" t="n">
        <f aca="false">E30</f>
        <v>0</v>
      </c>
      <c r="G25" s="61" t="n">
        <f aca="false">F30</f>
        <v>0</v>
      </c>
      <c r="H25" s="61" t="n">
        <f aca="false">G30</f>
        <v>0</v>
      </c>
      <c r="I25" s="61" t="n">
        <f aca="false">H30</f>
        <v>0</v>
      </c>
      <c r="J25" s="61" t="n">
        <f aca="false">I30</f>
        <v>0</v>
      </c>
      <c r="K25" s="61" t="n">
        <f aca="false">J30</f>
        <v>0</v>
      </c>
      <c r="L25" s="61" t="n">
        <f aca="false">K30</f>
        <v>0</v>
      </c>
      <c r="M25" s="61" t="n">
        <f aca="false">L30</f>
        <v>0</v>
      </c>
      <c r="N25" s="61" t="n">
        <f aca="false">M30</f>
        <v>0</v>
      </c>
      <c r="O25" s="61" t="n">
        <f aca="false">N30</f>
        <v>0</v>
      </c>
      <c r="P25" s="61" t="n">
        <f aca="false">O30</f>
        <v>0</v>
      </c>
      <c r="Q25" s="61" t="n">
        <f aca="false">P30</f>
        <v>0</v>
      </c>
      <c r="R25" s="61" t="n">
        <f aca="false">Q30</f>
        <v>0</v>
      </c>
      <c r="S25" s="61" t="n">
        <f aca="false">R30</f>
        <v>0</v>
      </c>
      <c r="T25" s="61" t="n">
        <f aca="false">S30</f>
        <v>0</v>
      </c>
      <c r="U25" s="61" t="n">
        <f aca="false">T30</f>
        <v>8587.72851657754</v>
      </c>
      <c r="V25" s="61" t="n">
        <f aca="false">U30</f>
        <v>9767.20598511455</v>
      </c>
      <c r="W25" s="61" t="n">
        <f aca="false">V30</f>
        <v>11807.5116265343</v>
      </c>
      <c r="X25" s="61" t="n">
        <f aca="false">W30</f>
        <v>17511.6993107053</v>
      </c>
      <c r="Y25" s="61" t="n">
        <f aca="false">X30</f>
        <v>23759.4024719145</v>
      </c>
      <c r="Z25" s="61" t="n">
        <f aca="false">Y30</f>
        <v>27218.2181047322</v>
      </c>
      <c r="AA25" s="61" t="n">
        <f aca="false">Z30</f>
        <v>33117.5003796017</v>
      </c>
      <c r="AB25" s="61" t="n">
        <f aca="false">AA30</f>
        <v>37836.0220308552</v>
      </c>
      <c r="AC25" s="61" t="n">
        <f aca="false">AB30</f>
        <v>38329.2177436975</v>
      </c>
      <c r="AD25" s="61" t="n">
        <f aca="false">AC30</f>
        <v>43517.9840727692</v>
      </c>
      <c r="AE25" s="61" t="n">
        <f aca="false">AD30</f>
        <v>49023.9440480781</v>
      </c>
      <c r="AF25" s="61" t="n">
        <f aca="false">AE30</f>
        <v>54562.2920232418</v>
      </c>
      <c r="AG25" s="61" t="n">
        <f aca="false">AF30</f>
        <v>67735.9648248121</v>
      </c>
      <c r="AH25" s="61" t="n">
        <f aca="false">AG30</f>
        <v>73384.3835104272</v>
      </c>
      <c r="AI25" s="61" t="n">
        <f aca="false">AH30</f>
        <v>0</v>
      </c>
      <c r="AJ25" s="61" t="n">
        <f aca="false">AI30</f>
        <v>0</v>
      </c>
      <c r="AK25" s="61" t="n">
        <f aca="false">AJ30</f>
        <v>0</v>
      </c>
      <c r="AL25" s="61" t="n">
        <f aca="false">AK30</f>
        <v>0</v>
      </c>
      <c r="AM25" s="61" t="n">
        <f aca="false">AL30</f>
        <v>0</v>
      </c>
      <c r="AN25" s="61" t="n">
        <f aca="false">AM30</f>
        <v>0</v>
      </c>
      <c r="AO25" s="304" t="n">
        <f aca="false">E25</f>
        <v>0</v>
      </c>
      <c r="AP25" s="310" t="n">
        <f aca="false">AP24+1</f>
        <v>19</v>
      </c>
    </row>
    <row r="26" customFormat="false" ht="12.75" hidden="false" customHeight="false" outlineLevel="0" collapsed="false">
      <c r="A26" s="37" t="s">
        <v>688</v>
      </c>
      <c r="B26" s="39"/>
      <c r="C26" s="39"/>
      <c r="D26" s="39"/>
      <c r="E26" s="61" t="n">
        <f aca="false">IF(E$7=Fin_Close,-E25,0)</f>
        <v>0</v>
      </c>
      <c r="F26" s="61" t="n">
        <f aca="false">IF(F$7=Fin_Close,-F25,0)</f>
        <v>0</v>
      </c>
      <c r="G26" s="61" t="n">
        <f aca="false">IF(G$7=Fin_Close,-G25,0)</f>
        <v>0</v>
      </c>
      <c r="H26" s="61" t="n">
        <f aca="false">IF(H$7=Fin_Close,-H25,0)</f>
        <v>0</v>
      </c>
      <c r="I26" s="61" t="n">
        <f aca="false">IF(I$7=Fin_Close,-I25,0)</f>
        <v>0</v>
      </c>
      <c r="J26" s="61" t="n">
        <f aca="false">IF(J$7=Fin_Close,-J25,0)</f>
        <v>0</v>
      </c>
      <c r="K26" s="61" t="n">
        <f aca="false">IF(K$7=Fin_Close,-K25,0)</f>
        <v>0</v>
      </c>
      <c r="L26" s="61" t="n">
        <f aca="false">IF(L$7=Fin_Close,-L25,0)</f>
        <v>0</v>
      </c>
      <c r="M26" s="61" t="n">
        <f aca="false">IF(M$7=Fin_Close,-M25,0)</f>
        <v>0</v>
      </c>
      <c r="N26" s="61" t="n">
        <f aca="false">IF(N$7=Fin_Close,-N25,0)</f>
        <v>0</v>
      </c>
      <c r="O26" s="61" t="n">
        <f aca="false">IF(O$7=Fin_Close,-O25,0)</f>
        <v>0</v>
      </c>
      <c r="P26" s="61" t="n">
        <f aca="false">IF(P$7=Fin_Close,-P25,0)</f>
        <v>0</v>
      </c>
      <c r="Q26" s="61" t="n">
        <f aca="false">IF(Q$7=Fin_Close,-Q25,0)</f>
        <v>0</v>
      </c>
      <c r="R26" s="61" t="n">
        <f aca="false">IF(R$7=Fin_Close,-R25,0)</f>
        <v>0</v>
      </c>
      <c r="S26" s="61" t="n">
        <f aca="false">IF(S$7=Fin_Close,-S25,0)</f>
        <v>0</v>
      </c>
      <c r="T26" s="61" t="n">
        <f aca="false">IF(T$7=Fin_Close,-T25,0)</f>
        <v>0</v>
      </c>
      <c r="U26" s="61" t="n">
        <f aca="false">IF(U$7=Fin_Close,-U25,0)</f>
        <v>0</v>
      </c>
      <c r="V26" s="61" t="n">
        <f aca="false">IF(V$7=Fin_Close,-V25,0)</f>
        <v>0</v>
      </c>
      <c r="W26" s="61" t="n">
        <f aca="false">IF(W$7=Fin_Close,-W25,0)</f>
        <v>0</v>
      </c>
      <c r="X26" s="61" t="n">
        <f aca="false">IF(X$7=Fin_Close,-X25,0)</f>
        <v>0</v>
      </c>
      <c r="Y26" s="61" t="n">
        <f aca="false">IF(Y$7=Fin_Close,-Y25,0)</f>
        <v>0</v>
      </c>
      <c r="Z26" s="61" t="n">
        <f aca="false">IF(Z$7=Fin_Close,-Z25,0)</f>
        <v>0</v>
      </c>
      <c r="AA26" s="61" t="n">
        <f aca="false">IF(AA$7=Fin_Close,-AA25,0)</f>
        <v>0</v>
      </c>
      <c r="AB26" s="61" t="n">
        <f aca="false">IF(AB$7=Fin_Close,-AB25,0)</f>
        <v>0</v>
      </c>
      <c r="AC26" s="61" t="n">
        <f aca="false">IF(AC$7=Fin_Close,-AC25,0)</f>
        <v>0</v>
      </c>
      <c r="AD26" s="61" t="n">
        <f aca="false">IF(AD$7=Fin_Close,-AD25,0)</f>
        <v>0</v>
      </c>
      <c r="AE26" s="61" t="n">
        <f aca="false">IF(AE$7=Fin_Close,-AE25,0)</f>
        <v>0</v>
      </c>
      <c r="AF26" s="61" t="n">
        <f aca="false">IF(AF$7=Fin_Close,-AF25,0)</f>
        <v>0</v>
      </c>
      <c r="AG26" s="61" t="n">
        <f aca="false">IF(AG$7=Fin_Close,-AG25,0)</f>
        <v>0</v>
      </c>
      <c r="AH26" s="61" t="n">
        <f aca="false">IF(AH$7=Fin_Close,-AH25,0)</f>
        <v>-73384.3835104272</v>
      </c>
      <c r="AI26" s="61" t="n">
        <f aca="false">IF(AI$7=Fin_Close,-AI25,0)</f>
        <v>0</v>
      </c>
      <c r="AJ26" s="61" t="n">
        <f aca="false">IF(AJ$7=Fin_Close,-AJ25,0)</f>
        <v>0</v>
      </c>
      <c r="AK26" s="61" t="n">
        <f aca="false">IF(AK$7=Fin_Close,-AK25,0)</f>
        <v>0</v>
      </c>
      <c r="AL26" s="61" t="n">
        <f aca="false">IF(AL$7=Fin_Close,-AL25,0)</f>
        <v>0</v>
      </c>
      <c r="AM26" s="61" t="n">
        <f aca="false">IF(AM$7=Fin_Close,-AM25,0)</f>
        <v>0</v>
      </c>
      <c r="AN26" s="61" t="n">
        <f aca="false">IF(AN$7=Fin_Close,-AN25,0)</f>
        <v>0</v>
      </c>
      <c r="AO26" s="304" t="n">
        <f aca="false">SUM(E26:AN26)</f>
        <v>-73384.3835104272</v>
      </c>
      <c r="AP26" s="310" t="n">
        <f aca="false">AP25+1</f>
        <v>20</v>
      </c>
    </row>
    <row r="27" customFormat="false" ht="12.75" hidden="false" customHeight="false" outlineLevel="0" collapsed="false">
      <c r="A27" s="37" t="s">
        <v>684</v>
      </c>
      <c r="B27" s="39"/>
      <c r="C27" s="39"/>
      <c r="D27" s="39"/>
      <c r="E27" s="61" t="n">
        <f aca="false">IF(E$7&lt;Fin_Close,E17-E64,0)</f>
        <v>0</v>
      </c>
      <c r="F27" s="61" t="n">
        <f aca="false">IF(F$7&lt;Fin_Close,F17-F64,0)</f>
        <v>0</v>
      </c>
      <c r="G27" s="61" t="n">
        <f aca="false">IF(G$7&lt;Fin_Close,G17-G64,0)</f>
        <v>0</v>
      </c>
      <c r="H27" s="61" t="n">
        <f aca="false">IF(H$7&lt;Fin_Close,H17-H64,0)</f>
        <v>0</v>
      </c>
      <c r="I27" s="61" t="n">
        <f aca="false">IF(I$7&lt;Fin_Close,I17-I64,0)</f>
        <v>0</v>
      </c>
      <c r="J27" s="61" t="n">
        <f aca="false">IF(J$7&lt;Fin_Close,J17-J64,0)</f>
        <v>0</v>
      </c>
      <c r="K27" s="61" t="n">
        <f aca="false">IF(K$7&lt;Fin_Close,K17-K64,0)</f>
        <v>0</v>
      </c>
      <c r="L27" s="61" t="n">
        <f aca="false">IF(L$7&lt;Fin_Close,L17-L64,0)</f>
        <v>0</v>
      </c>
      <c r="M27" s="61" t="n">
        <f aca="false">IF(M$7&lt;Fin_Close,M17-M64,0)</f>
        <v>0</v>
      </c>
      <c r="N27" s="61" t="n">
        <f aca="false">IF(N$7&lt;Fin_Close,N17-N64,0)</f>
        <v>0</v>
      </c>
      <c r="O27" s="61" t="n">
        <f aca="false">IF(O$7&lt;Fin_Close,O17-O64,0)</f>
        <v>0</v>
      </c>
      <c r="P27" s="61" t="n">
        <f aca="false">IF(P$7&lt;Fin_Close,P17-P64,0)</f>
        <v>0</v>
      </c>
      <c r="Q27" s="61" t="n">
        <f aca="false">IF(Q$7&lt;Fin_Close,Q17-Q64,0)</f>
        <v>0</v>
      </c>
      <c r="R27" s="61" t="n">
        <f aca="false">IF(R$7&lt;Fin_Close,R17-R64,0)</f>
        <v>0</v>
      </c>
      <c r="S27" s="61" t="n">
        <f aca="false">IF(S$7&lt;Fin_Close,S17-S64,0)</f>
        <v>0</v>
      </c>
      <c r="T27" s="61" t="n">
        <f aca="false">IF(T$7&lt;Fin_Close,T17-T64,0)</f>
        <v>8562.54456198347</v>
      </c>
      <c r="U27" s="61" t="n">
        <f aca="false">IF(U$7&lt;Fin_Close,U17-U64,0)</f>
        <v>1125.65068114202</v>
      </c>
      <c r="V27" s="61" t="n">
        <f aca="false">IF(V$7&lt;Fin_Close,V17-V64,0)</f>
        <v>1977.03667481663</v>
      </c>
      <c r="W27" s="61" t="n">
        <f aca="false">IF(W$7&lt;Fin_Close,W17-W64,0)</f>
        <v>5618.20759344598</v>
      </c>
      <c r="X27" s="61" t="n">
        <f aca="false">IF(X$7&lt;Fin_Close,X17-X64,0)</f>
        <v>6126.67353721329</v>
      </c>
      <c r="Y27" s="61" t="n">
        <f aca="false">IF(Y$7&lt;Fin_Close,Y17-Y64,0)</f>
        <v>3309.32114432313</v>
      </c>
      <c r="Z27" s="61" t="n">
        <f aca="false">IF(Z$7&lt;Fin_Close,Z17-Z64,0)</f>
        <v>5722.34468400638</v>
      </c>
      <c r="AA27" s="61" t="n">
        <f aca="false">IF(AA$7&lt;Fin_Close,AA17-AA64,0)</f>
        <v>4510.44680547504</v>
      </c>
      <c r="AB27" s="61" t="n">
        <f aca="false">IF(AB$7&lt;Fin_Close,AB17-AB64,0)</f>
        <v>269.837238430088</v>
      </c>
      <c r="AC27" s="61" t="n">
        <f aca="false">IF(AC$7&lt;Fin_Close,AC17-AC64,0)</f>
        <v>4948.74520937534</v>
      </c>
      <c r="AD27" s="61" t="n">
        <f aca="false">IF(AD$7&lt;Fin_Close,AD17-AD64,0)</f>
        <v>5234.57602187534</v>
      </c>
      <c r="AE27" s="61" t="n">
        <f aca="false">IF(AE$7&lt;Fin_Close,AE17-AE64,0)</f>
        <v>5234.57602187534</v>
      </c>
      <c r="AF27" s="61" t="n">
        <f aca="false">IF(AF$7&lt;Fin_Close,AF17-AF64,0)</f>
        <v>12815.0268870599</v>
      </c>
      <c r="AG27" s="61" t="n">
        <f aca="false">IF(AG$7&lt;Fin_Close,AG17-AG64,0)</f>
        <v>5234.57602187534</v>
      </c>
      <c r="AH27" s="61" t="n">
        <f aca="false">IF(AH$7&lt;Fin_Close,AH17-AH64,0)</f>
        <v>0</v>
      </c>
      <c r="AI27" s="61" t="n">
        <f aca="false">IF(AI$7&lt;Fin_Close,AI17-AI64,0)</f>
        <v>0</v>
      </c>
      <c r="AJ27" s="61" t="n">
        <f aca="false">IF(AJ$7&lt;Fin_Close,AJ17-AJ64,0)</f>
        <v>0</v>
      </c>
      <c r="AK27" s="61" t="n">
        <f aca="false">IF(AK$7&lt;Fin_Close,AK17-AK64,0)</f>
        <v>0</v>
      </c>
      <c r="AL27" s="61" t="n">
        <f aca="false">IF(AL$7&lt;Fin_Close,AL17-AL64,0)</f>
        <v>0</v>
      </c>
      <c r="AM27" s="61" t="n">
        <f aca="false">IF(AM$7&lt;Fin_Close,AM17-AM64,0)</f>
        <v>0</v>
      </c>
      <c r="AN27" s="61" t="n">
        <f aca="false">IF(AN$7&lt;Fin_Close,AN17-AN64,0)</f>
        <v>0</v>
      </c>
      <c r="AO27" s="304" t="n">
        <f aca="false">SUM(E27:AN27)</f>
        <v>70689.5630828973</v>
      </c>
      <c r="AP27" s="310" t="n">
        <f aca="false">AP26+1</f>
        <v>21</v>
      </c>
    </row>
    <row r="28" customFormat="false" ht="12.75" hidden="false" customHeight="false" outlineLevel="0" collapsed="false">
      <c r="A28" s="37" t="s">
        <v>689</v>
      </c>
      <c r="B28" s="39"/>
      <c r="C28" s="39"/>
      <c r="D28" s="39"/>
      <c r="E28" s="61" t="n">
        <f aca="false">IF(E$7&lt;Fin_Close,E18-E65,0)</f>
        <v>0</v>
      </c>
      <c r="F28" s="61" t="n">
        <f aca="false">IF(F$7&lt;Fin_Close,F18-F65,0)</f>
        <v>0</v>
      </c>
      <c r="G28" s="61" t="n">
        <f aca="false">IF(G$7&lt;Fin_Close,G18-G65,0)</f>
        <v>0</v>
      </c>
      <c r="H28" s="61" t="n">
        <f aca="false">IF(H$7&lt;Fin_Close,H18-H65,0)</f>
        <v>0</v>
      </c>
      <c r="I28" s="61" t="n">
        <f aca="false">IF(I$7&lt;Fin_Close,I18-I65,0)</f>
        <v>0</v>
      </c>
      <c r="J28" s="61" t="n">
        <f aca="false">IF(J$7&lt;Fin_Close,J18-J65,0)</f>
        <v>0</v>
      </c>
      <c r="K28" s="61" t="n">
        <f aca="false">IF(K$7&lt;Fin_Close,K18-K65,0)</f>
        <v>0</v>
      </c>
      <c r="L28" s="61" t="n">
        <f aca="false">IF(L$7&lt;Fin_Close,L18-L65,0)</f>
        <v>0</v>
      </c>
      <c r="M28" s="61" t="n">
        <f aca="false">IF(M$7&lt;Fin_Close,M18-M65,0)</f>
        <v>0</v>
      </c>
      <c r="N28" s="61" t="n">
        <f aca="false">IF(N$7&lt;Fin_Close,N18-N65,0)</f>
        <v>0</v>
      </c>
      <c r="O28" s="61" t="n">
        <f aca="false">IF(O$7&lt;Fin_Close,O18-O65,0)</f>
        <v>0</v>
      </c>
      <c r="P28" s="61" t="n">
        <f aca="false">IF(P$7&lt;Fin_Close,P18-P65,0)</f>
        <v>0</v>
      </c>
      <c r="Q28" s="61" t="n">
        <f aca="false">IF(Q$7&lt;Fin_Close,Q18-Q65,0)</f>
        <v>0</v>
      </c>
      <c r="R28" s="61" t="n">
        <f aca="false">IF(R$7&lt;Fin_Close,R18-R65,0)</f>
        <v>0</v>
      </c>
      <c r="S28" s="61" t="n">
        <f aca="false">IF(S$7&lt;Fin_Close,S18-S65,0)</f>
        <v>0</v>
      </c>
      <c r="T28" s="61" t="n">
        <f aca="false">IF(T$7&lt;Fin_Close,T18-T65,0)</f>
        <v>21.4063614049587</v>
      </c>
      <c r="U28" s="61" t="n">
        <f aca="false">IF(U$7&lt;Fin_Close,U18-U65,0)</f>
        <v>45.7527692857428</v>
      </c>
      <c r="V28" s="61" t="n">
        <f aca="false">IF(V$7&lt;Fin_Close,V18-V65,0)</f>
        <v>53.7786216126143</v>
      </c>
      <c r="W28" s="61" t="n">
        <f aca="false">IF(W$7&lt;Fin_Close,W18-W65,0)</f>
        <v>73.0830771162862</v>
      </c>
      <c r="X28" s="61" t="n">
        <f aca="false">IF(X$7&lt;Fin_Close,X18-X65,0)</f>
        <v>102.87518039656</v>
      </c>
      <c r="Y28" s="61" t="n">
        <f aca="false">IF(Y$7&lt;Fin_Close,Y18-Y65,0)</f>
        <v>127.07031522038</v>
      </c>
      <c r="Z28" s="61" t="n">
        <f aca="false">IF(Z$7&lt;Fin_Close,Z18-Z65,0)</f>
        <v>150.396952233677</v>
      </c>
      <c r="AA28" s="61" t="n">
        <f aca="false">IF(AA$7&lt;Fin_Close,AA18-AA65,0)</f>
        <v>176.863618911696</v>
      </c>
      <c r="AB28" s="61" t="n">
        <f aca="false">IF(AB$7&lt;Fin_Close,AB18-AB65,0)</f>
        <v>189.854703250351</v>
      </c>
      <c r="AC28" s="61" t="n">
        <f aca="false">IF(AC$7&lt;Fin_Close,AC18-AC65,0)</f>
        <v>204.017951741926</v>
      </c>
      <c r="AD28" s="61" t="n">
        <f aca="false">IF(AD$7&lt;Fin_Close,AD18-AD65,0)</f>
        <v>230.676360418535</v>
      </c>
      <c r="AE28" s="61" t="n">
        <f aca="false">IF(AE$7&lt;Fin_Close,AE18-AE65,0)</f>
        <v>258.206160295079</v>
      </c>
      <c r="AF28" s="61" t="n">
        <f aca="false">IF(AF$7&lt;Fin_Close,AF18-AF65,0)</f>
        <v>304.849027333859</v>
      </c>
      <c r="AG28" s="61" t="n">
        <f aca="false">IF(AG$7&lt;Fin_Close,AG18-AG65,0)</f>
        <v>351.766264178749</v>
      </c>
      <c r="AH28" s="61" t="n">
        <f aca="false">IF(AH$7&lt;Fin_Close,AH18-AH65,0)</f>
        <v>0</v>
      </c>
      <c r="AI28" s="61" t="n">
        <f aca="false">IF(AI$7&lt;Fin_Close,AI18-AI65,0)</f>
        <v>0</v>
      </c>
      <c r="AJ28" s="61" t="n">
        <f aca="false">IF(AJ$7&lt;Fin_Close,AJ18-AJ65,0)</f>
        <v>0</v>
      </c>
      <c r="AK28" s="61" t="n">
        <f aca="false">IF(AK$7&lt;Fin_Close,AK18-AK65,0)</f>
        <v>0</v>
      </c>
      <c r="AL28" s="61" t="n">
        <f aca="false">IF(AL$7&lt;Fin_Close,AL18-AL65,0)</f>
        <v>0</v>
      </c>
      <c r="AM28" s="61" t="n">
        <f aca="false">IF(AM$7&lt;Fin_Close,AM18-AM65,0)</f>
        <v>0</v>
      </c>
      <c r="AN28" s="61" t="n">
        <f aca="false">IF(AN$7&lt;Fin_Close,AN18-AN65,0)</f>
        <v>0</v>
      </c>
      <c r="AO28" s="304" t="n">
        <f aca="false">SUM(E28:AN28)</f>
        <v>2290.59736340041</v>
      </c>
      <c r="AP28" s="310" t="n">
        <f aca="false">AP27+1</f>
        <v>22</v>
      </c>
      <c r="AQ28" s="19"/>
    </row>
    <row r="29" customFormat="false" ht="12.75" hidden="false" customHeight="false" outlineLevel="0" collapsed="false">
      <c r="A29" s="37" t="s">
        <v>690</v>
      </c>
      <c r="B29" s="39"/>
      <c r="C29" s="39"/>
      <c r="D29" s="39"/>
      <c r="E29" s="306" t="n">
        <f aca="false">IF(E$7&lt;Fin_Close,E19-E66,0)</f>
        <v>0</v>
      </c>
      <c r="F29" s="306" t="n">
        <f aca="false">IF(F$7&lt;Fin_Close,F19-F66,0)</f>
        <v>0</v>
      </c>
      <c r="G29" s="306" t="n">
        <f aca="false">IF(G$7&lt;Fin_Close,G19-G66,0)</f>
        <v>0</v>
      </c>
      <c r="H29" s="306" t="n">
        <f aca="false">IF(H$7&lt;Fin_Close,H19-H66,0)</f>
        <v>0</v>
      </c>
      <c r="I29" s="306" t="n">
        <f aca="false">IF(I$7&lt;Fin_Close,I19-I66,0)</f>
        <v>0</v>
      </c>
      <c r="J29" s="306" t="n">
        <f aca="false">IF(J$7&lt;Fin_Close,J19-J66,0)</f>
        <v>0</v>
      </c>
      <c r="K29" s="306" t="n">
        <f aca="false">IF(K$7&lt;Fin_Close,K19-K66,0)</f>
        <v>0</v>
      </c>
      <c r="L29" s="306" t="n">
        <f aca="false">IF(L$7&lt;Fin_Close,L19-L66,0)</f>
        <v>0</v>
      </c>
      <c r="M29" s="306" t="n">
        <f aca="false">IF(M$7&lt;Fin_Close,M19-M66,0)</f>
        <v>0</v>
      </c>
      <c r="N29" s="306" t="n">
        <f aca="false">IF(N$7&lt;Fin_Close,N19-N66,0)</f>
        <v>0</v>
      </c>
      <c r="O29" s="306" t="n">
        <f aca="false">IF(O$7&lt;Fin_Close,O19-O66,0)</f>
        <v>0</v>
      </c>
      <c r="P29" s="306" t="n">
        <f aca="false">IF(P$7&lt;Fin_Close,P19-P66,0)</f>
        <v>0</v>
      </c>
      <c r="Q29" s="306" t="n">
        <f aca="false">IF(Q$7&lt;Fin_Close,Q19-Q66,0)</f>
        <v>0</v>
      </c>
      <c r="R29" s="306" t="n">
        <f aca="false">IF(R$7&lt;Fin_Close,R19-R66,0)</f>
        <v>0</v>
      </c>
      <c r="S29" s="306" t="n">
        <f aca="false">IF(S$7&lt;Fin_Close,S19-S66,0)</f>
        <v>0</v>
      </c>
      <c r="T29" s="306" t="n">
        <f aca="false">IF(T$7&lt;Fin_Close,T19-T66,0)</f>
        <v>3.77759318911035</v>
      </c>
      <c r="U29" s="306" t="n">
        <f aca="false">IF(U$7&lt;Fin_Close,U19-U66,0)</f>
        <v>8.07401810924872</v>
      </c>
      <c r="V29" s="306" t="n">
        <f aca="false">IF(V$7&lt;Fin_Close,V19-V66,0)</f>
        <v>9.49034499046135</v>
      </c>
      <c r="W29" s="306" t="n">
        <f aca="false">IF(W$7&lt;Fin_Close,W19-W66,0)</f>
        <v>12.8970136087564</v>
      </c>
      <c r="X29" s="306" t="n">
        <f aca="false">IF(X$7&lt;Fin_Close,X19-X66,0)</f>
        <v>18.1544435993929</v>
      </c>
      <c r="Y29" s="306" t="n">
        <f aca="false">IF(Y$7&lt;Fin_Close,Y19-Y66,0)</f>
        <v>22.4241732741848</v>
      </c>
      <c r="Z29" s="306" t="n">
        <f aca="false">IF(Z$7&lt;Fin_Close,Z19-Z66,0)</f>
        <v>26.5406386294724</v>
      </c>
      <c r="AA29" s="306" t="n">
        <f aca="false">IF(AA$7&lt;Fin_Close,AA19-AA66,0)</f>
        <v>31.2112268667699</v>
      </c>
      <c r="AB29" s="306" t="n">
        <f aca="false">IF(AB$7&lt;Fin_Close,AB19-AB66,0)</f>
        <v>33.5037711618267</v>
      </c>
      <c r="AC29" s="306" t="n">
        <f aca="false">IF(AC$7&lt;Fin_Close,AC19-AC66,0)</f>
        <v>36.0031679544575</v>
      </c>
      <c r="AD29" s="306" t="n">
        <f aca="false">IF(AD$7&lt;Fin_Close,AD19-AD66,0)</f>
        <v>40.7075930150355</v>
      </c>
      <c r="AE29" s="306" t="n">
        <f aca="false">IF(AE$7&lt;Fin_Close,AE19-AE66,0)</f>
        <v>45.5657929932493</v>
      </c>
      <c r="AF29" s="306" t="n">
        <f aca="false">IF(AF$7&lt;Fin_Close,AF19-AF66,0)</f>
        <v>53.7968871765633</v>
      </c>
      <c r="AG29" s="306" t="n">
        <f aca="false">IF(AG$7&lt;Fin_Close,AG19-AG66,0)</f>
        <v>62.0763995609557</v>
      </c>
      <c r="AH29" s="306" t="n">
        <f aca="false">IF(AH$7&lt;Fin_Close,AH19-AH66,0)</f>
        <v>0</v>
      </c>
      <c r="AI29" s="306" t="n">
        <f aca="false">IF(AI$7&lt;Fin_Close,AI19-AI66,0)</f>
        <v>0</v>
      </c>
      <c r="AJ29" s="306" t="n">
        <f aca="false">IF(AJ$7&lt;Fin_Close,AJ19-AJ66,0)</f>
        <v>0</v>
      </c>
      <c r="AK29" s="306" t="n">
        <f aca="false">IF(AK$7&lt;Fin_Close,AK19-AK66,0)</f>
        <v>0</v>
      </c>
      <c r="AL29" s="306" t="n">
        <f aca="false">IF(AL$7&lt;Fin_Close,AL19-AL66,0)</f>
        <v>0</v>
      </c>
      <c r="AM29" s="306" t="n">
        <f aca="false">IF(AM$7&lt;Fin_Close,AM19-AM66,0)</f>
        <v>0</v>
      </c>
      <c r="AN29" s="306" t="n">
        <f aca="false">IF(AN$7&lt;Fin_Close,AN19-AN66,0)</f>
        <v>0</v>
      </c>
      <c r="AO29" s="307" t="n">
        <f aca="false">SUM(E29:AN29)</f>
        <v>404.223064129485</v>
      </c>
      <c r="AP29" s="310" t="n">
        <f aca="false">AP28+1</f>
        <v>23</v>
      </c>
      <c r="AQ29" s="19"/>
    </row>
    <row r="30" customFormat="false" ht="12.75" hidden="false" customHeight="false" outlineLevel="0" collapsed="false">
      <c r="A30" s="37" t="s">
        <v>476</v>
      </c>
      <c r="B30" s="39"/>
      <c r="C30" s="39"/>
      <c r="D30" s="39"/>
      <c r="E30" s="61" t="n">
        <f aca="false">SUM(E25:E29)</f>
        <v>0</v>
      </c>
      <c r="F30" s="61" t="n">
        <f aca="false">SUM(F25:F29)</f>
        <v>0</v>
      </c>
      <c r="G30" s="61" t="n">
        <f aca="false">SUM(G25:G29)</f>
        <v>0</v>
      </c>
      <c r="H30" s="61" t="n">
        <f aca="false">SUM(H25:H29)</f>
        <v>0</v>
      </c>
      <c r="I30" s="61" t="n">
        <f aca="false">SUM(I25:I29)</f>
        <v>0</v>
      </c>
      <c r="J30" s="61" t="n">
        <f aca="false">SUM(J25:J29)</f>
        <v>0</v>
      </c>
      <c r="K30" s="61" t="n">
        <f aca="false">SUM(K25:K29)</f>
        <v>0</v>
      </c>
      <c r="L30" s="61" t="n">
        <f aca="false">SUM(L25:L29)</f>
        <v>0</v>
      </c>
      <c r="M30" s="61" t="n">
        <f aca="false">SUM(M25:M29)</f>
        <v>0</v>
      </c>
      <c r="N30" s="61" t="n">
        <f aca="false">SUM(N25:N29)</f>
        <v>0</v>
      </c>
      <c r="O30" s="61" t="n">
        <f aca="false">SUM(O25:O29)</f>
        <v>0</v>
      </c>
      <c r="P30" s="61" t="n">
        <f aca="false">SUM(P25:P29)</f>
        <v>0</v>
      </c>
      <c r="Q30" s="61" t="n">
        <f aca="false">SUM(Q25:Q29)</f>
        <v>0</v>
      </c>
      <c r="R30" s="61" t="n">
        <f aca="false">SUM(R25:R29)</f>
        <v>0</v>
      </c>
      <c r="S30" s="61" t="n">
        <f aca="false">SUM(S25:S29)</f>
        <v>0</v>
      </c>
      <c r="T30" s="61" t="n">
        <f aca="false">SUM(T25:T29)</f>
        <v>8587.72851657754</v>
      </c>
      <c r="U30" s="61" t="n">
        <f aca="false">SUM(U25:U29)</f>
        <v>9767.20598511455</v>
      </c>
      <c r="V30" s="61" t="n">
        <f aca="false">SUM(V25:V29)</f>
        <v>11807.5116265343</v>
      </c>
      <c r="W30" s="61" t="n">
        <f aca="false">SUM(W25:W29)</f>
        <v>17511.6993107053</v>
      </c>
      <c r="X30" s="61" t="n">
        <f aca="false">SUM(X25:X29)</f>
        <v>23759.4024719145</v>
      </c>
      <c r="Y30" s="61" t="n">
        <f aca="false">SUM(Y25:Y29)</f>
        <v>27218.2181047322</v>
      </c>
      <c r="Z30" s="61" t="n">
        <f aca="false">SUM(Z25:Z29)</f>
        <v>33117.5003796017</v>
      </c>
      <c r="AA30" s="61" t="n">
        <f aca="false">SUM(AA25:AA29)</f>
        <v>37836.0220308552</v>
      </c>
      <c r="AB30" s="61" t="n">
        <f aca="false">SUM(AB25:AB29)</f>
        <v>38329.2177436975</v>
      </c>
      <c r="AC30" s="61" t="n">
        <f aca="false">SUM(AC25:AC29)</f>
        <v>43517.9840727692</v>
      </c>
      <c r="AD30" s="61" t="n">
        <f aca="false">SUM(AD25:AD29)</f>
        <v>49023.9440480781</v>
      </c>
      <c r="AE30" s="61" t="n">
        <f aca="false">SUM(AE25:AE29)</f>
        <v>54562.2920232418</v>
      </c>
      <c r="AF30" s="61" t="n">
        <f aca="false">SUM(AF25:AF29)</f>
        <v>67735.9648248121</v>
      </c>
      <c r="AG30" s="61" t="n">
        <f aca="false">SUM(AG25:AG29)</f>
        <v>73384.3835104272</v>
      </c>
      <c r="AH30" s="61" t="n">
        <f aca="false">SUM(AH25:AH29)</f>
        <v>0</v>
      </c>
      <c r="AI30" s="61" t="n">
        <f aca="false">SUM(AI25:AI29)</f>
        <v>0</v>
      </c>
      <c r="AJ30" s="61" t="n">
        <f aca="false">SUM(AJ25:AJ29)</f>
        <v>0</v>
      </c>
      <c r="AK30" s="61" t="n">
        <f aca="false">SUM(AK25:AK29)</f>
        <v>0</v>
      </c>
      <c r="AL30" s="61" t="n">
        <f aca="false">SUM(AL25:AL29)</f>
        <v>0</v>
      </c>
      <c r="AM30" s="61" t="n">
        <f aca="false">SUM(AM25:AM29)</f>
        <v>0</v>
      </c>
      <c r="AN30" s="61" t="n">
        <f aca="false">SUM(AN25:AN29)</f>
        <v>0</v>
      </c>
      <c r="AO30" s="304" t="n">
        <f aca="false">SUM(AO25:AO29)</f>
        <v>-7.95807864051312E-012</v>
      </c>
      <c r="AP30" s="310" t="n">
        <f aca="false">AP29+1</f>
        <v>24</v>
      </c>
    </row>
    <row r="31" customFormat="false" ht="12.75" hidden="false" customHeight="false" outlineLevel="0" collapsed="false">
      <c r="A31" s="37"/>
      <c r="B31" s="39"/>
      <c r="C31" s="39"/>
      <c r="D31" s="39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298"/>
      <c r="AP31" s="310" t="n">
        <f aca="false">AP30+1</f>
        <v>25</v>
      </c>
    </row>
    <row r="32" customFormat="false" ht="12.75" hidden="false" customHeight="false" outlineLevel="0" collapsed="false">
      <c r="A32" s="114" t="s">
        <v>265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298"/>
      <c r="AP32" s="310" t="n">
        <f aca="false">AP31+1</f>
        <v>26</v>
      </c>
    </row>
    <row r="33" customFormat="false" ht="12.75" hidden="false" customHeight="false" outlineLevel="0" collapsed="false">
      <c r="A33" s="37" t="s">
        <v>472</v>
      </c>
      <c r="B33" s="39"/>
      <c r="C33" s="39"/>
      <c r="D33" s="39"/>
      <c r="E33" s="98" t="n">
        <v>0</v>
      </c>
      <c r="F33" s="61" t="n">
        <f aca="false">E38</f>
        <v>0</v>
      </c>
      <c r="G33" s="61" t="n">
        <f aca="false">F38</f>
        <v>0</v>
      </c>
      <c r="H33" s="61" t="n">
        <f aca="false">G38</f>
        <v>0</v>
      </c>
      <c r="I33" s="61" t="n">
        <f aca="false">H38</f>
        <v>0</v>
      </c>
      <c r="J33" s="61" t="n">
        <f aca="false">I38</f>
        <v>0</v>
      </c>
      <c r="K33" s="61" t="n">
        <f aca="false">J38</f>
        <v>0</v>
      </c>
      <c r="L33" s="61" t="n">
        <f aca="false">K38</f>
        <v>0</v>
      </c>
      <c r="M33" s="61" t="n">
        <f aca="false">L38</f>
        <v>0</v>
      </c>
      <c r="N33" s="61" t="n">
        <f aca="false">M38</f>
        <v>0</v>
      </c>
      <c r="O33" s="61" t="n">
        <f aca="false">N38</f>
        <v>0</v>
      </c>
      <c r="P33" s="61" t="n">
        <f aca="false">O38</f>
        <v>0</v>
      </c>
      <c r="Q33" s="61" t="n">
        <f aca="false">P38</f>
        <v>0</v>
      </c>
      <c r="R33" s="61" t="n">
        <f aca="false">Q38</f>
        <v>0</v>
      </c>
      <c r="S33" s="61" t="n">
        <f aca="false">R38</f>
        <v>0</v>
      </c>
      <c r="T33" s="61" t="n">
        <f aca="false">S38</f>
        <v>0</v>
      </c>
      <c r="U33" s="61" t="n">
        <f aca="false">T38</f>
        <v>0</v>
      </c>
      <c r="V33" s="61" t="n">
        <f aca="false">U38</f>
        <v>0</v>
      </c>
      <c r="W33" s="61" t="n">
        <f aca="false">V38</f>
        <v>0</v>
      </c>
      <c r="X33" s="61" t="n">
        <f aca="false">W38</f>
        <v>0</v>
      </c>
      <c r="Y33" s="61" t="n">
        <f aca="false">X38</f>
        <v>0</v>
      </c>
      <c r="Z33" s="61" t="n">
        <f aca="false">Y38</f>
        <v>0</v>
      </c>
      <c r="AA33" s="61" t="n">
        <f aca="false">Z38</f>
        <v>0</v>
      </c>
      <c r="AB33" s="61" t="n">
        <f aca="false">AA38</f>
        <v>0</v>
      </c>
      <c r="AC33" s="61" t="n">
        <f aca="false">AB38</f>
        <v>0</v>
      </c>
      <c r="AD33" s="61" t="n">
        <f aca="false">AC38</f>
        <v>0</v>
      </c>
      <c r="AE33" s="61" t="n">
        <f aca="false">AD38</f>
        <v>0</v>
      </c>
      <c r="AF33" s="61" t="n">
        <f aca="false">AE38</f>
        <v>0</v>
      </c>
      <c r="AG33" s="61" t="n">
        <f aca="false">AF38</f>
        <v>0</v>
      </c>
      <c r="AH33" s="61" t="n">
        <f aca="false">AG38</f>
        <v>0</v>
      </c>
      <c r="AI33" s="61" t="n">
        <f aca="false">AH38</f>
        <v>62762.1765207295</v>
      </c>
      <c r="AJ33" s="61" t="n">
        <f aca="false">AI38</f>
        <v>66618.7162381789</v>
      </c>
      <c r="AK33" s="61" t="n">
        <f aca="false">AJ38</f>
        <v>70512.4124915113</v>
      </c>
      <c r="AL33" s="61" t="n">
        <f aca="false">AK38</f>
        <v>74443.6232721543</v>
      </c>
      <c r="AM33" s="61" t="n">
        <f aca="false">AL38</f>
        <v>75185.6384886592</v>
      </c>
      <c r="AN33" s="61" t="n">
        <f aca="false">AM38</f>
        <v>75934.8027862155</v>
      </c>
      <c r="AO33" s="304" t="n">
        <f aca="false">E33</f>
        <v>0</v>
      </c>
      <c r="AP33" s="310" t="n">
        <f aca="false">AP32+1</f>
        <v>27</v>
      </c>
    </row>
    <row r="34" customFormat="false" ht="12.75" hidden="false" customHeight="false" outlineLevel="0" collapsed="false">
      <c r="A34" s="37" t="s">
        <v>691</v>
      </c>
      <c r="B34" s="39"/>
      <c r="C34" s="39"/>
      <c r="D34" s="39"/>
      <c r="E34" s="61" t="n">
        <f aca="false">IF(E$7=Fin_Close,-E26*Debt_Perc/SUM(Debt_Perc,Subdebt_Perc),0)</f>
        <v>0</v>
      </c>
      <c r="F34" s="61" t="n">
        <f aca="false">IF(F$7=Fin_Close,-F26*Debt_Perc/SUM(Debt_Perc,Subdebt_Perc),0)</f>
        <v>0</v>
      </c>
      <c r="G34" s="61" t="n">
        <f aca="false">IF(G$7=Fin_Close,-G26*Debt_Perc/SUM(Debt_Perc,Subdebt_Perc),0)</f>
        <v>0</v>
      </c>
      <c r="H34" s="61" t="n">
        <f aca="false">IF(H$7=Fin_Close,-H26*Debt_Perc/SUM(Debt_Perc,Subdebt_Perc),0)</f>
        <v>0</v>
      </c>
      <c r="I34" s="61" t="n">
        <f aca="false">IF(I$7=Fin_Close,-I26*Debt_Perc/SUM(Debt_Perc,Subdebt_Perc),0)</f>
        <v>0</v>
      </c>
      <c r="J34" s="61" t="n">
        <f aca="false">IF(J$7=Fin_Close,-J26*Debt_Perc/SUM(Debt_Perc,Subdebt_Perc),0)</f>
        <v>0</v>
      </c>
      <c r="K34" s="61" t="n">
        <f aca="false">IF(K$7=Fin_Close,-K26*Debt_Perc/SUM(Debt_Perc,Subdebt_Perc),0)</f>
        <v>0</v>
      </c>
      <c r="L34" s="61" t="n">
        <f aca="false">IF(L$7=Fin_Close,-L26*Debt_Perc/SUM(Debt_Perc,Subdebt_Perc),0)</f>
        <v>0</v>
      </c>
      <c r="M34" s="61" t="n">
        <f aca="false">IF(M$7=Fin_Close,-M26*Debt_Perc/SUM(Debt_Perc,Subdebt_Perc),0)</f>
        <v>0</v>
      </c>
      <c r="N34" s="61" t="n">
        <f aca="false">IF(N$7=Fin_Close,-N26*Debt_Perc/SUM(Debt_Perc,Subdebt_Perc),0)</f>
        <v>0</v>
      </c>
      <c r="O34" s="61" t="n">
        <f aca="false">IF(O$7=Fin_Close,-O26*Debt_Perc/SUM(Debt_Perc,Subdebt_Perc),0)</f>
        <v>0</v>
      </c>
      <c r="P34" s="61" t="n">
        <f aca="false">IF(P$7=Fin_Close,-P26*Debt_Perc/SUM(Debt_Perc,Subdebt_Perc),0)</f>
        <v>0</v>
      </c>
      <c r="Q34" s="61" t="n">
        <f aca="false">IF(Q$7=Fin_Close,-Q26*Debt_Perc/SUM(Debt_Perc,Subdebt_Perc),0)</f>
        <v>0</v>
      </c>
      <c r="R34" s="61" t="n">
        <f aca="false">IF(R$7=Fin_Close,-R26*Debt_Perc/SUM(Debt_Perc,Subdebt_Perc),0)</f>
        <v>0</v>
      </c>
      <c r="S34" s="61" t="n">
        <f aca="false">IF(S$7=Fin_Close,-S26*Debt_Perc/SUM(Debt_Perc,Subdebt_Perc),0)</f>
        <v>0</v>
      </c>
      <c r="T34" s="61" t="n">
        <f aca="false">IF(T$7=Fin_Close,-T26*Debt_Perc/SUM(Debt_Perc,Subdebt_Perc),0)</f>
        <v>0</v>
      </c>
      <c r="U34" s="61" t="n">
        <f aca="false">IF(U$7=Fin_Close,-U26*Debt_Perc/SUM(Debt_Perc,Subdebt_Perc),0)</f>
        <v>0</v>
      </c>
      <c r="V34" s="61" t="n">
        <f aca="false">IF(V$7=Fin_Close,-V26*Debt_Perc/SUM(Debt_Perc,Subdebt_Perc),0)</f>
        <v>0</v>
      </c>
      <c r="W34" s="61" t="n">
        <f aca="false">IF(W$7=Fin_Close,-W26*Debt_Perc/SUM(Debt_Perc,Subdebt_Perc),0)</f>
        <v>0</v>
      </c>
      <c r="X34" s="61" t="n">
        <f aca="false">IF(X$7=Fin_Close,-X26*Debt_Perc/SUM(Debt_Perc,Subdebt_Perc),0)</f>
        <v>0</v>
      </c>
      <c r="Y34" s="61" t="n">
        <f aca="false">IF(Y$7=Fin_Close,-Y26*Debt_Perc/SUM(Debt_Perc,Subdebt_Perc),0)</f>
        <v>0</v>
      </c>
      <c r="Z34" s="61" t="n">
        <f aca="false">IF(Z$7=Fin_Close,-Z26*Debt_Perc/SUM(Debt_Perc,Subdebt_Perc),0)</f>
        <v>0</v>
      </c>
      <c r="AA34" s="61" t="n">
        <f aca="false">IF(AA$7=Fin_Close,-AA26*Debt_Perc/SUM(Debt_Perc,Subdebt_Perc),0)</f>
        <v>0</v>
      </c>
      <c r="AB34" s="61" t="n">
        <f aca="false">IF(AB$7=Fin_Close,-AB26*Debt_Perc/SUM(Debt_Perc,Subdebt_Perc),0)</f>
        <v>0</v>
      </c>
      <c r="AC34" s="61" t="n">
        <f aca="false">IF(AC$7=Fin_Close,-AC26*Debt_Perc/SUM(Debt_Perc,Subdebt_Perc),0)</f>
        <v>0</v>
      </c>
      <c r="AD34" s="61" t="n">
        <f aca="false">IF(AD$7=Fin_Close,-AD26*Debt_Perc/SUM(Debt_Perc,Subdebt_Perc),0)</f>
        <v>0</v>
      </c>
      <c r="AE34" s="61" t="n">
        <f aca="false">IF(AE$7=Fin_Close,-AE26*Debt_Perc/SUM(Debt_Perc,Subdebt_Perc),0)</f>
        <v>0</v>
      </c>
      <c r="AF34" s="61" t="n">
        <f aca="false">IF(AF$7=Fin_Close,-AF26*Debt_Perc/SUM(Debt_Perc,Subdebt_Perc),0)</f>
        <v>0</v>
      </c>
      <c r="AG34" s="61" t="n">
        <f aca="false">IF(AG$7=Fin_Close,-AG26*Debt_Perc/SUM(Debt_Perc,Subdebt_Perc),0)</f>
        <v>0</v>
      </c>
      <c r="AH34" s="61" t="n">
        <f aca="false">IF(AH$7=Fin_Close,-AH26*Debt_Perc/SUM(Debt_Perc,Subdebt_Perc),0)</f>
        <v>57195.6496627249</v>
      </c>
      <c r="AI34" s="61" t="n">
        <f aca="false">IF(AI$7=Fin_Close,-AI26*Debt_Perc/SUM(Debt_Perc,Subdebt_Perc),0)</f>
        <v>0</v>
      </c>
      <c r="AJ34" s="61" t="n">
        <f aca="false">IF(AJ$7=Fin_Close,-AJ26*Debt_Perc/SUM(Debt_Perc,Subdebt_Perc),0)</f>
        <v>0</v>
      </c>
      <c r="AK34" s="61" t="n">
        <f aca="false">IF(AK$7=Fin_Close,-AK26*Debt_Perc/SUM(Debt_Perc,Subdebt_Perc),0)</f>
        <v>0</v>
      </c>
      <c r="AL34" s="61" t="n">
        <f aca="false">IF(AL$7=Fin_Close,-AL26*Debt_Perc/SUM(Debt_Perc,Subdebt_Perc),0)</f>
        <v>0</v>
      </c>
      <c r="AM34" s="61" t="n">
        <f aca="false">IF(AM$7=Fin_Close,-AM26*Debt_Perc/SUM(Debt_Perc,Subdebt_Perc),0)</f>
        <v>0</v>
      </c>
      <c r="AN34" s="61" t="n">
        <f aca="false">IF(AN$7=Fin_Close,-AN26*Debt_Perc/SUM(Debt_Perc,Subdebt_Perc),0)</f>
        <v>0</v>
      </c>
      <c r="AO34" s="304" t="n">
        <f aca="false">SUM(E34:AN34)</f>
        <v>57195.6496627249</v>
      </c>
      <c r="AP34" s="310" t="n">
        <f aca="false">AP33+1</f>
        <v>28</v>
      </c>
    </row>
    <row r="35" customFormat="false" ht="12.75" hidden="false" customHeight="false" outlineLevel="0" collapsed="false">
      <c r="A35" s="37" t="s">
        <v>684</v>
      </c>
      <c r="B35" s="39"/>
      <c r="C35" s="39"/>
      <c r="D35" s="39"/>
      <c r="E35" s="61" t="n">
        <f aca="false">IF(E$7&lt;Fin_Close,0,E17*Debt_Perc/SUM(Debt_Perc,Subdebt_Perc))</f>
        <v>0</v>
      </c>
      <c r="F35" s="61" t="n">
        <f aca="false">IF(F$7&lt;Fin_Close,0,F17*Debt_Perc/SUM(Debt_Perc,Subdebt_Perc))</f>
        <v>0</v>
      </c>
      <c r="G35" s="61" t="n">
        <f aca="false">IF(G$7&lt;Fin_Close,0,G17*Debt_Perc/SUM(Debt_Perc,Subdebt_Perc))</f>
        <v>0</v>
      </c>
      <c r="H35" s="61" t="n">
        <f aca="false">IF(H$7&lt;Fin_Close,0,H17*Debt_Perc/SUM(Debt_Perc,Subdebt_Perc))</f>
        <v>0</v>
      </c>
      <c r="I35" s="61" t="n">
        <f aca="false">IF(I$7&lt;Fin_Close,0,I17*Debt_Perc/SUM(Debt_Perc,Subdebt_Perc))</f>
        <v>0</v>
      </c>
      <c r="J35" s="61" t="n">
        <f aca="false">IF(J$7&lt;Fin_Close,0,J17*Debt_Perc/SUM(Debt_Perc,Subdebt_Perc))</f>
        <v>0</v>
      </c>
      <c r="K35" s="61" t="n">
        <f aca="false">IF(K$7&lt;Fin_Close,0,K17*Debt_Perc/SUM(Debt_Perc,Subdebt_Perc))</f>
        <v>0</v>
      </c>
      <c r="L35" s="61" t="n">
        <f aca="false">IF(L$7&lt;Fin_Close,0,L17*Debt_Perc/SUM(Debt_Perc,Subdebt_Perc))</f>
        <v>0</v>
      </c>
      <c r="M35" s="61" t="n">
        <f aca="false">IF(M$7&lt;Fin_Close,0,M17*Debt_Perc/SUM(Debt_Perc,Subdebt_Perc))</f>
        <v>0</v>
      </c>
      <c r="N35" s="61" t="n">
        <f aca="false">IF(N$7&lt;Fin_Close,0,N17*Debt_Perc/SUM(Debt_Perc,Subdebt_Perc))</f>
        <v>0</v>
      </c>
      <c r="O35" s="61" t="n">
        <f aca="false">IF(O$7&lt;Fin_Close,0,O17*Debt_Perc/SUM(Debt_Perc,Subdebt_Perc))</f>
        <v>0</v>
      </c>
      <c r="P35" s="61" t="n">
        <f aca="false">IF(P$7&lt;Fin_Close,0,P17*Debt_Perc/SUM(Debt_Perc,Subdebt_Perc))</f>
        <v>0</v>
      </c>
      <c r="Q35" s="61" t="n">
        <f aca="false">IF(Q$7&lt;Fin_Close,0,Q17*Debt_Perc/SUM(Debt_Perc,Subdebt_Perc))</f>
        <v>0</v>
      </c>
      <c r="R35" s="61" t="n">
        <f aca="false">IF(R$7&lt;Fin_Close,0,R17*Debt_Perc/SUM(Debt_Perc,Subdebt_Perc))</f>
        <v>0</v>
      </c>
      <c r="S35" s="61" t="n">
        <f aca="false">IF(S$7&lt;Fin_Close,0,S17*Debt_Perc/SUM(Debt_Perc,Subdebt_Perc))</f>
        <v>0</v>
      </c>
      <c r="T35" s="61" t="n">
        <f aca="false">IF(T$7&lt;Fin_Close,0,T17*Debt_Perc/SUM(Debt_Perc,Subdebt_Perc))</f>
        <v>0</v>
      </c>
      <c r="U35" s="61" t="n">
        <f aca="false">IF(U$7&lt;Fin_Close,0,U17*Debt_Perc/SUM(Debt_Perc,Subdebt_Perc))</f>
        <v>0</v>
      </c>
      <c r="V35" s="61" t="n">
        <f aca="false">IF(V$7&lt;Fin_Close,0,V17*Debt_Perc/SUM(Debt_Perc,Subdebt_Perc))</f>
        <v>0</v>
      </c>
      <c r="W35" s="61" t="n">
        <f aca="false">IF(W$7&lt;Fin_Close,0,W17*Debt_Perc/SUM(Debt_Perc,Subdebt_Perc))</f>
        <v>0</v>
      </c>
      <c r="X35" s="61" t="n">
        <f aca="false">IF(X$7&lt;Fin_Close,0,X17*Debt_Perc/SUM(Debt_Perc,Subdebt_Perc))</f>
        <v>0</v>
      </c>
      <c r="Y35" s="61" t="n">
        <f aca="false">IF(Y$7&lt;Fin_Close,0,Y17*Debt_Perc/SUM(Debt_Perc,Subdebt_Perc))</f>
        <v>0</v>
      </c>
      <c r="Z35" s="61" t="n">
        <f aca="false">IF(Z$7&lt;Fin_Close,0,Z17*Debt_Perc/SUM(Debt_Perc,Subdebt_Perc))</f>
        <v>0</v>
      </c>
      <c r="AA35" s="61" t="n">
        <f aca="false">IF(AA$7&lt;Fin_Close,0,AA17*Debt_Perc/SUM(Debt_Perc,Subdebt_Perc))</f>
        <v>0</v>
      </c>
      <c r="AB35" s="61" t="n">
        <f aca="false">IF(AB$7&lt;Fin_Close,0,AB17*Debt_Perc/SUM(Debt_Perc,Subdebt_Perc))</f>
        <v>0</v>
      </c>
      <c r="AC35" s="61" t="n">
        <f aca="false">IF(AC$7&lt;Fin_Close,0,AC17*Debt_Perc/SUM(Debt_Perc,Subdebt_Perc))</f>
        <v>0</v>
      </c>
      <c r="AD35" s="61" t="n">
        <f aca="false">IF(AD$7&lt;Fin_Close,0,AD17*Debt_Perc/SUM(Debt_Perc,Subdebt_Perc))</f>
        <v>0</v>
      </c>
      <c r="AE35" s="61" t="n">
        <f aca="false">IF(AE$7&lt;Fin_Close,0,AE17*Debt_Perc/SUM(Debt_Perc,Subdebt_Perc))</f>
        <v>0</v>
      </c>
      <c r="AF35" s="61" t="n">
        <f aca="false">IF(AF$7&lt;Fin_Close,0,AF17*Debt_Perc/SUM(Debt_Perc,Subdebt_Perc))</f>
        <v>0</v>
      </c>
      <c r="AG35" s="61" t="n">
        <f aca="false">IF(AG$7&lt;Fin_Close,0,AG17*Debt_Perc/SUM(Debt_Perc,Subdebt_Perc))</f>
        <v>0</v>
      </c>
      <c r="AH35" s="61" t="n">
        <f aca="false">IF(AH$7&lt;Fin_Close,0,AH17*Debt_Perc/SUM(Debt_Perc,Subdebt_Perc))</f>
        <v>4971.84807179298</v>
      </c>
      <c r="AI35" s="61" t="n">
        <f aca="false">IF(AI$7&lt;Fin_Close,0,AI17*Debt_Perc/SUM(Debt_Perc,Subdebt_Perc))</f>
        <v>3215.14703209696</v>
      </c>
      <c r="AJ35" s="61" t="n">
        <f aca="false">IF(AJ$7&lt;Fin_Close,0,AJ17*Debt_Perc/SUM(Debt_Perc,Subdebt_Perc))</f>
        <v>3213.88255730827</v>
      </c>
      <c r="AK35" s="61" t="n">
        <f aca="false">IF(AK$7&lt;Fin_Close,0,AK17*Debt_Perc/SUM(Debt_Perc,Subdebt_Perc))</f>
        <v>3212.60589970641</v>
      </c>
      <c r="AL35" s="61" t="n">
        <f aca="false">IF(AL$7&lt;Fin_Close,0,AL17*Debt_Perc/SUM(Debt_Perc,Subdebt_Perc))</f>
        <v>0.243290515031488</v>
      </c>
      <c r="AM35" s="61" t="n">
        <f aca="false">IF(AM$7&lt;Fin_Close,0,AM17*Debt_Perc/SUM(Debt_Perc,Subdebt_Perc))</f>
        <v>-4.31960617830091E-015</v>
      </c>
      <c r="AN35" s="61" t="n">
        <f aca="false">IF(AN$7&lt;Fin_Close,0,AN17*Debt_Perc/SUM(Debt_Perc,Subdebt_Perc))</f>
        <v>-4.31898291905894E-015</v>
      </c>
      <c r="AO35" s="304" t="n">
        <f aca="false">SUM(E35:AN35)</f>
        <v>14613.7268514197</v>
      </c>
      <c r="AP35" s="310" t="n">
        <f aca="false">AP34+1</f>
        <v>29</v>
      </c>
    </row>
    <row r="36" customFormat="false" ht="12.75" hidden="false" customHeight="false" outlineLevel="0" collapsed="false">
      <c r="A36" s="37" t="s">
        <v>689</v>
      </c>
      <c r="B36" s="39"/>
      <c r="C36" s="39"/>
      <c r="D36" s="39"/>
      <c r="E36" s="61" t="n">
        <f aca="false">IF(E$7&lt;Fin_Close,0,E18*Debt_Perc/SUM(Debt_Perc,Subdebt_Perc))</f>
        <v>0</v>
      </c>
      <c r="F36" s="61" t="n">
        <f aca="false">IF(F$7&lt;Fin_Close,0,F18*Debt_Perc/SUM(Debt_Perc,Subdebt_Perc))</f>
        <v>0</v>
      </c>
      <c r="G36" s="61" t="n">
        <f aca="false">IF(G$7&lt;Fin_Close,0,G18*Debt_Perc/SUM(Debt_Perc,Subdebt_Perc))</f>
        <v>0</v>
      </c>
      <c r="H36" s="61" t="n">
        <f aca="false">IF(H$7&lt;Fin_Close,0,H18*Debt_Perc/SUM(Debt_Perc,Subdebt_Perc))</f>
        <v>0</v>
      </c>
      <c r="I36" s="61" t="n">
        <f aca="false">IF(I$7&lt;Fin_Close,0,I18*Debt_Perc/SUM(Debt_Perc,Subdebt_Perc))</f>
        <v>0</v>
      </c>
      <c r="J36" s="61" t="n">
        <f aca="false">IF(J$7&lt;Fin_Close,0,J18*Debt_Perc/SUM(Debt_Perc,Subdebt_Perc))</f>
        <v>0</v>
      </c>
      <c r="K36" s="61" t="n">
        <f aca="false">IF(K$7&lt;Fin_Close,0,K18*Debt_Perc/SUM(Debt_Perc,Subdebt_Perc))</f>
        <v>0</v>
      </c>
      <c r="L36" s="61" t="n">
        <f aca="false">IF(L$7&lt;Fin_Close,0,L18*Debt_Perc/SUM(Debt_Perc,Subdebt_Perc))</f>
        <v>0</v>
      </c>
      <c r="M36" s="61" t="n">
        <f aca="false">IF(M$7&lt;Fin_Close,0,M18*Debt_Perc/SUM(Debt_Perc,Subdebt_Perc))</f>
        <v>0</v>
      </c>
      <c r="N36" s="61" t="n">
        <f aca="false">IF(N$7&lt;Fin_Close,0,N18*Debt_Perc/SUM(Debt_Perc,Subdebt_Perc))</f>
        <v>0</v>
      </c>
      <c r="O36" s="61" t="n">
        <f aca="false">IF(O$7&lt;Fin_Close,0,O18*Debt_Perc/SUM(Debt_Perc,Subdebt_Perc))</f>
        <v>0</v>
      </c>
      <c r="P36" s="61" t="n">
        <f aca="false">IF(P$7&lt;Fin_Close,0,P18*Debt_Perc/SUM(Debt_Perc,Subdebt_Perc))</f>
        <v>0</v>
      </c>
      <c r="Q36" s="61" t="n">
        <f aca="false">IF(Q$7&lt;Fin_Close,0,Q18*Debt_Perc/SUM(Debt_Perc,Subdebt_Perc))</f>
        <v>0</v>
      </c>
      <c r="R36" s="61" t="n">
        <f aca="false">IF(R$7&lt;Fin_Close,0,R18*Debt_Perc/SUM(Debt_Perc,Subdebt_Perc))</f>
        <v>0</v>
      </c>
      <c r="S36" s="61" t="n">
        <f aca="false">IF(S$7&lt;Fin_Close,0,S18*Debt_Perc/SUM(Debt_Perc,Subdebt_Perc))</f>
        <v>0</v>
      </c>
      <c r="T36" s="61" t="n">
        <f aca="false">IF(T$7&lt;Fin_Close,0,T18*Debt_Perc/SUM(Debt_Perc,Subdebt_Perc))</f>
        <v>0</v>
      </c>
      <c r="U36" s="61" t="n">
        <f aca="false">IF(U$7&lt;Fin_Close,0,U18*Debt_Perc/SUM(Debt_Perc,Subdebt_Perc))</f>
        <v>0</v>
      </c>
      <c r="V36" s="61" t="n">
        <f aca="false">IF(V$7&lt;Fin_Close,0,V18*Debt_Perc/SUM(Debt_Perc,Subdebt_Perc))</f>
        <v>0</v>
      </c>
      <c r="W36" s="61" t="n">
        <f aca="false">IF(W$7&lt;Fin_Close,0,W18*Debt_Perc/SUM(Debt_Perc,Subdebt_Perc))</f>
        <v>0</v>
      </c>
      <c r="X36" s="61" t="n">
        <f aca="false">IF(X$7&lt;Fin_Close,0,X18*Debt_Perc/SUM(Debt_Perc,Subdebt_Perc))</f>
        <v>0</v>
      </c>
      <c r="Y36" s="61" t="n">
        <f aca="false">IF(Y$7&lt;Fin_Close,0,Y18*Debt_Perc/SUM(Debt_Perc,Subdebt_Perc))</f>
        <v>0</v>
      </c>
      <c r="Z36" s="61" t="n">
        <f aca="false">IF(Z$7&lt;Fin_Close,0,Z18*Debt_Perc/SUM(Debt_Perc,Subdebt_Perc))</f>
        <v>0</v>
      </c>
      <c r="AA36" s="61" t="n">
        <f aca="false">IF(AA$7&lt;Fin_Close,0,AA18*Debt_Perc/SUM(Debt_Perc,Subdebt_Perc))</f>
        <v>0</v>
      </c>
      <c r="AB36" s="61" t="n">
        <f aca="false">IF(AB$7&lt;Fin_Close,0,AB18*Debt_Perc/SUM(Debt_Perc,Subdebt_Perc))</f>
        <v>0</v>
      </c>
      <c r="AC36" s="61" t="n">
        <f aca="false">IF(AC$7&lt;Fin_Close,0,AC18*Debt_Perc/SUM(Debt_Perc,Subdebt_Perc))</f>
        <v>0</v>
      </c>
      <c r="AD36" s="61" t="n">
        <f aca="false">IF(AD$7&lt;Fin_Close,0,AD18*Debt_Perc/SUM(Debt_Perc,Subdebt_Perc))</f>
        <v>0</v>
      </c>
      <c r="AE36" s="61" t="n">
        <f aca="false">IF(AE$7&lt;Fin_Close,0,AE18*Debt_Perc/SUM(Debt_Perc,Subdebt_Perc))</f>
        <v>0</v>
      </c>
      <c r="AF36" s="61" t="n">
        <f aca="false">IF(AF$7&lt;Fin_Close,0,AF18*Debt_Perc/SUM(Debt_Perc,Subdebt_Perc))</f>
        <v>0</v>
      </c>
      <c r="AG36" s="61" t="n">
        <f aca="false">IF(AG$7&lt;Fin_Close,0,AG18*Debt_Perc/SUM(Debt_Perc,Subdebt_Perc))</f>
        <v>0</v>
      </c>
      <c r="AH36" s="61" t="n">
        <f aca="false">IF(AH$7&lt;Fin_Close,0,AH18*Debt_Perc/SUM(Debt_Perc,Subdebt_Perc))</f>
        <v>569.508744299452</v>
      </c>
      <c r="AI36" s="61" t="n">
        <f aca="false">IF(AI$7&lt;Fin_Close,0,AI18*Debt_Perc/SUM(Debt_Perc,Subdebt_Perc))</f>
        <v>614.245457055732</v>
      </c>
      <c r="AJ36" s="61" t="n">
        <f aca="false">IF(AJ$7&lt;Fin_Close,0,AJ18*Debt_Perc/SUM(Debt_Perc,Subdebt_Perc))</f>
        <v>651.040281505069</v>
      </c>
      <c r="AK36" s="61" t="n">
        <f aca="false">IF(AK$7&lt;Fin_Close,0,AK18*Debt_Perc/SUM(Debt_Perc,Subdebt_Perc))</f>
        <v>688.189612407116</v>
      </c>
      <c r="AL36" s="61" t="n">
        <f aca="false">IF(AL$7&lt;Fin_Close,0,AL18*Debt_Perc/SUM(Debt_Perc,Subdebt_Perc))</f>
        <v>710.376102060514</v>
      </c>
      <c r="AM36" s="61" t="n">
        <f aca="false">IF(AM$7&lt;Fin_Close,0,AM18*Debt_Perc/SUM(Debt_Perc,Subdebt_Perc))</f>
        <v>717.455588239925</v>
      </c>
      <c r="AN36" s="61" t="n">
        <f aca="false">IF(AN$7&lt;Fin_Close,0,AN18*Debt_Perc/SUM(Debt_Perc,Subdebt_Perc))</f>
        <v>0</v>
      </c>
      <c r="AO36" s="304" t="n">
        <f aca="false">SUM(E36:AN36)</f>
        <v>3950.81578556781</v>
      </c>
      <c r="AP36" s="310" t="n">
        <f aca="false">AP35+1</f>
        <v>30</v>
      </c>
      <c r="AQ36" s="19"/>
    </row>
    <row r="37" customFormat="false" ht="12.75" hidden="false" customHeight="false" outlineLevel="0" collapsed="false">
      <c r="A37" s="37" t="s">
        <v>690</v>
      </c>
      <c r="B37" s="39"/>
      <c r="C37" s="39"/>
      <c r="D37" s="39"/>
      <c r="E37" s="306" t="n">
        <f aca="false">IF(E$7&lt;Fin_Close,0,E19*Debt_Perc/SUM(Debt_Perc,Subdebt_Perc))</f>
        <v>0</v>
      </c>
      <c r="F37" s="306" t="n">
        <f aca="false">IF(F$7&lt;Fin_Close,0,F19*Debt_Perc/SUM(Debt_Perc,Subdebt_Perc))</f>
        <v>0</v>
      </c>
      <c r="G37" s="306" t="n">
        <f aca="false">IF(G$7&lt;Fin_Close,0,G19*Debt_Perc/SUM(Debt_Perc,Subdebt_Perc))</f>
        <v>0</v>
      </c>
      <c r="H37" s="306" t="n">
        <f aca="false">IF(H$7&lt;Fin_Close,0,H19*Debt_Perc/SUM(Debt_Perc,Subdebt_Perc))</f>
        <v>0</v>
      </c>
      <c r="I37" s="306" t="n">
        <f aca="false">IF(I$7&lt;Fin_Close,0,I19*Debt_Perc/SUM(Debt_Perc,Subdebt_Perc))</f>
        <v>0</v>
      </c>
      <c r="J37" s="306" t="n">
        <f aca="false">IF(J$7&lt;Fin_Close,0,J19*Debt_Perc/SUM(Debt_Perc,Subdebt_Perc))</f>
        <v>0</v>
      </c>
      <c r="K37" s="306" t="n">
        <f aca="false">IF(K$7&lt;Fin_Close,0,K19*Debt_Perc/SUM(Debt_Perc,Subdebt_Perc))</f>
        <v>0</v>
      </c>
      <c r="L37" s="306" t="n">
        <f aca="false">IF(L$7&lt;Fin_Close,0,L19*Debt_Perc/SUM(Debt_Perc,Subdebt_Perc))</f>
        <v>0</v>
      </c>
      <c r="M37" s="306" t="n">
        <f aca="false">IF(M$7&lt;Fin_Close,0,M19*Debt_Perc/SUM(Debt_Perc,Subdebt_Perc))</f>
        <v>0</v>
      </c>
      <c r="N37" s="306" t="n">
        <f aca="false">IF(N$7&lt;Fin_Close,0,N19*Debt_Perc/SUM(Debt_Perc,Subdebt_Perc))</f>
        <v>0</v>
      </c>
      <c r="O37" s="306" t="n">
        <f aca="false">IF(O$7&lt;Fin_Close,0,O19*Debt_Perc/SUM(Debt_Perc,Subdebt_Perc))</f>
        <v>0</v>
      </c>
      <c r="P37" s="306" t="n">
        <f aca="false">IF(P$7&lt;Fin_Close,0,P19*Debt_Perc/SUM(Debt_Perc,Subdebt_Perc))</f>
        <v>0</v>
      </c>
      <c r="Q37" s="306" t="n">
        <f aca="false">IF(Q$7&lt;Fin_Close,0,Q19*Debt_Perc/SUM(Debt_Perc,Subdebt_Perc))</f>
        <v>0</v>
      </c>
      <c r="R37" s="306" t="n">
        <f aca="false">IF(R$7&lt;Fin_Close,0,R19*Debt_Perc/SUM(Debt_Perc,Subdebt_Perc))</f>
        <v>0</v>
      </c>
      <c r="S37" s="306" t="n">
        <f aca="false">IF(S$7&lt;Fin_Close,0,S19*Debt_Perc/SUM(Debt_Perc,Subdebt_Perc))</f>
        <v>0</v>
      </c>
      <c r="T37" s="306" t="n">
        <f aca="false">IF(T$7&lt;Fin_Close,0,T19*Debt_Perc/SUM(Debt_Perc,Subdebt_Perc))</f>
        <v>0</v>
      </c>
      <c r="U37" s="306" t="n">
        <f aca="false">IF(U$7&lt;Fin_Close,0,U19*Debt_Perc/SUM(Debt_Perc,Subdebt_Perc))</f>
        <v>0</v>
      </c>
      <c r="V37" s="306" t="n">
        <f aca="false">IF(V$7&lt;Fin_Close,0,V19*Debt_Perc/SUM(Debt_Perc,Subdebt_Perc))</f>
        <v>0</v>
      </c>
      <c r="W37" s="306" t="n">
        <f aca="false">IF(W$7&lt;Fin_Close,0,W19*Debt_Perc/SUM(Debt_Perc,Subdebt_Perc))</f>
        <v>0</v>
      </c>
      <c r="X37" s="306" t="n">
        <f aca="false">IF(X$7&lt;Fin_Close,0,X19*Debt_Perc/SUM(Debt_Perc,Subdebt_Perc))</f>
        <v>0</v>
      </c>
      <c r="Y37" s="306" t="n">
        <f aca="false">IF(Y$7&lt;Fin_Close,0,Y19*Debt_Perc/SUM(Debt_Perc,Subdebt_Perc))</f>
        <v>0</v>
      </c>
      <c r="Z37" s="306" t="n">
        <f aca="false">IF(Z$7&lt;Fin_Close,0,Z19*Debt_Perc/SUM(Debt_Perc,Subdebt_Perc))</f>
        <v>0</v>
      </c>
      <c r="AA37" s="306" t="n">
        <f aca="false">IF(AA$7&lt;Fin_Close,0,AA19*Debt_Perc/SUM(Debt_Perc,Subdebt_Perc))</f>
        <v>0</v>
      </c>
      <c r="AB37" s="306" t="n">
        <f aca="false">IF(AB$7&lt;Fin_Close,0,AB19*Debt_Perc/SUM(Debt_Perc,Subdebt_Perc))</f>
        <v>0</v>
      </c>
      <c r="AC37" s="306" t="n">
        <f aca="false">IF(AC$7&lt;Fin_Close,0,AC19*Debt_Perc/SUM(Debt_Perc,Subdebt_Perc))</f>
        <v>0</v>
      </c>
      <c r="AD37" s="306" t="n">
        <f aca="false">IF(AD$7&lt;Fin_Close,0,AD19*Debt_Perc/SUM(Debt_Perc,Subdebt_Perc))</f>
        <v>0</v>
      </c>
      <c r="AE37" s="306" t="n">
        <f aca="false">IF(AE$7&lt;Fin_Close,0,AE19*Debt_Perc/SUM(Debt_Perc,Subdebt_Perc))</f>
        <v>0</v>
      </c>
      <c r="AF37" s="306" t="n">
        <f aca="false">IF(AF$7&lt;Fin_Close,0,AF19*Debt_Perc/SUM(Debt_Perc,Subdebt_Perc))</f>
        <v>0</v>
      </c>
      <c r="AG37" s="306" t="n">
        <f aca="false">IF(AG$7&lt;Fin_Close,0,AG19*Debt_Perc/SUM(Debt_Perc,Subdebt_Perc))</f>
        <v>0</v>
      </c>
      <c r="AH37" s="306" t="n">
        <f aca="false">IF(AH$7&lt;Fin_Close,0,AH19*Debt_Perc/SUM(Debt_Perc,Subdebt_Perc))</f>
        <v>25.1700419121397</v>
      </c>
      <c r="AI37" s="306" t="n">
        <f aca="false">IF(AI$7&lt;Fin_Close,0,AI19*Debt_Perc/SUM(Debt_Perc,Subdebt_Perc))</f>
        <v>27.1472282966473</v>
      </c>
      <c r="AJ37" s="306" t="n">
        <f aca="false">IF(AJ$7&lt;Fin_Close,0,AJ19*Debt_Perc/SUM(Debt_Perc,Subdebt_Perc))</f>
        <v>28.7734145190887</v>
      </c>
      <c r="AK37" s="306" t="n">
        <f aca="false">IF(AK$7&lt;Fin_Close,0,AK19*Debt_Perc/SUM(Debt_Perc,Subdebt_Perc))</f>
        <v>30.4152685295353</v>
      </c>
      <c r="AL37" s="306" t="n">
        <f aca="false">IF(AL$7&lt;Fin_Close,0,AL19*Debt_Perc/SUM(Debt_Perc,Subdebt_Perc))</f>
        <v>31.3958239293408</v>
      </c>
      <c r="AM37" s="306" t="n">
        <f aca="false">IF(AM$7&lt;Fin_Close,0,AM19*Debt_Perc/SUM(Debt_Perc,Subdebt_Perc))</f>
        <v>31.7087093163271</v>
      </c>
      <c r="AN37" s="306" t="n">
        <f aca="false">IF(AN$7&lt;Fin_Close,0,AN19*Debt_Perc/SUM(Debt_Perc,Subdebt_Perc))</f>
        <v>0</v>
      </c>
      <c r="AO37" s="307" t="n">
        <f aca="false">SUM(E37:AN37)</f>
        <v>174.610486503079</v>
      </c>
      <c r="AP37" s="310" t="n">
        <f aca="false">AP36+1</f>
        <v>31</v>
      </c>
      <c r="AQ37" s="19"/>
    </row>
    <row r="38" customFormat="false" ht="12.75" hidden="false" customHeight="false" outlineLevel="0" collapsed="false">
      <c r="A38" s="37" t="s">
        <v>476</v>
      </c>
      <c r="B38" s="39"/>
      <c r="C38" s="39"/>
      <c r="D38" s="39"/>
      <c r="E38" s="61" t="n">
        <f aca="false">SUM(E33:E37)</f>
        <v>0</v>
      </c>
      <c r="F38" s="61" t="n">
        <f aca="false">SUM(F33:F37)</f>
        <v>0</v>
      </c>
      <c r="G38" s="61" t="n">
        <f aca="false">SUM(G33:G37)</f>
        <v>0</v>
      </c>
      <c r="H38" s="61" t="n">
        <f aca="false">SUM(H33:H37)</f>
        <v>0</v>
      </c>
      <c r="I38" s="61" t="n">
        <f aca="false">SUM(I33:I37)</f>
        <v>0</v>
      </c>
      <c r="J38" s="61" t="n">
        <f aca="false">SUM(J33:J37)</f>
        <v>0</v>
      </c>
      <c r="K38" s="61" t="n">
        <f aca="false">SUM(K33:K37)</f>
        <v>0</v>
      </c>
      <c r="L38" s="61" t="n">
        <f aca="false">SUM(L33:L37)</f>
        <v>0</v>
      </c>
      <c r="M38" s="61" t="n">
        <f aca="false">SUM(M33:M37)</f>
        <v>0</v>
      </c>
      <c r="N38" s="61" t="n">
        <f aca="false">SUM(N33:N37)</f>
        <v>0</v>
      </c>
      <c r="O38" s="61" t="n">
        <f aca="false">SUM(O33:O37)</f>
        <v>0</v>
      </c>
      <c r="P38" s="61" t="n">
        <f aca="false">SUM(P33:P37)</f>
        <v>0</v>
      </c>
      <c r="Q38" s="61" t="n">
        <f aca="false">SUM(Q33:Q37)</f>
        <v>0</v>
      </c>
      <c r="R38" s="61" t="n">
        <f aca="false">SUM(R33:R37)</f>
        <v>0</v>
      </c>
      <c r="S38" s="61" t="n">
        <f aca="false">SUM(S33:S37)</f>
        <v>0</v>
      </c>
      <c r="T38" s="61" t="n">
        <f aca="false">SUM(T33:T37)</f>
        <v>0</v>
      </c>
      <c r="U38" s="61" t="n">
        <f aca="false">SUM(U33:U37)</f>
        <v>0</v>
      </c>
      <c r="V38" s="61" t="n">
        <f aca="false">SUM(V33:V37)</f>
        <v>0</v>
      </c>
      <c r="W38" s="61" t="n">
        <f aca="false">SUM(W33:W37)</f>
        <v>0</v>
      </c>
      <c r="X38" s="61" t="n">
        <f aca="false">SUM(X33:X37)</f>
        <v>0</v>
      </c>
      <c r="Y38" s="61" t="n">
        <f aca="false">SUM(Y33:Y37)</f>
        <v>0</v>
      </c>
      <c r="Z38" s="61" t="n">
        <f aca="false">SUM(Z33:Z37)</f>
        <v>0</v>
      </c>
      <c r="AA38" s="61" t="n">
        <f aca="false">SUM(AA33:AA37)</f>
        <v>0</v>
      </c>
      <c r="AB38" s="61" t="n">
        <f aca="false">SUM(AB33:AB37)</f>
        <v>0</v>
      </c>
      <c r="AC38" s="61" t="n">
        <f aca="false">SUM(AC33:AC37)</f>
        <v>0</v>
      </c>
      <c r="AD38" s="61" t="n">
        <f aca="false">SUM(AD33:AD37)</f>
        <v>0</v>
      </c>
      <c r="AE38" s="61" t="n">
        <f aca="false">SUM(AE33:AE37)</f>
        <v>0</v>
      </c>
      <c r="AF38" s="61" t="n">
        <f aca="false">SUM(AF33:AF37)</f>
        <v>0</v>
      </c>
      <c r="AG38" s="61" t="n">
        <f aca="false">SUM(AG33:AG37)</f>
        <v>0</v>
      </c>
      <c r="AH38" s="61" t="n">
        <f aca="false">SUM(AH33:AH37)</f>
        <v>62762.1765207295</v>
      </c>
      <c r="AI38" s="61" t="n">
        <f aca="false">SUM(AI33:AI37)</f>
        <v>66618.7162381789</v>
      </c>
      <c r="AJ38" s="61" t="n">
        <f aca="false">SUM(AJ33:AJ37)</f>
        <v>70512.4124915113</v>
      </c>
      <c r="AK38" s="61" t="n">
        <f aca="false">SUM(AK33:AK37)</f>
        <v>74443.6232721543</v>
      </c>
      <c r="AL38" s="61" t="n">
        <f aca="false">SUM(AL33:AL37)</f>
        <v>75185.6384886592</v>
      </c>
      <c r="AM38" s="61" t="n">
        <f aca="false">SUM(AM33:AM37)</f>
        <v>75934.8027862155</v>
      </c>
      <c r="AN38" s="61" t="n">
        <f aca="false">SUM(AN33:AN37)</f>
        <v>75934.8027862155</v>
      </c>
      <c r="AO38" s="304" t="n">
        <f aca="false">SUM(AO33:AO37)</f>
        <v>75934.8027862155</v>
      </c>
      <c r="AP38" s="310" t="n">
        <f aca="false">AP37+1</f>
        <v>32</v>
      </c>
    </row>
    <row r="39" customFormat="false" ht="12.75" hidden="false" customHeight="false" outlineLevel="0" collapsed="false">
      <c r="A39" s="37"/>
      <c r="B39" s="39"/>
      <c r="C39" s="39"/>
      <c r="D39" s="39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304"/>
      <c r="AP39" s="310" t="n">
        <f aca="false">AP38+1</f>
        <v>33</v>
      </c>
    </row>
    <row r="40" customFormat="false" ht="12.75" hidden="false" customHeight="false" outlineLevel="0" collapsed="false">
      <c r="A40" s="114" t="s">
        <v>268</v>
      </c>
      <c r="B40" s="39"/>
      <c r="C40" s="39"/>
      <c r="D40" s="39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304"/>
      <c r="AP40" s="310" t="n">
        <f aca="false">AP39+1</f>
        <v>34</v>
      </c>
    </row>
    <row r="41" customFormat="false" ht="12.75" hidden="false" customHeight="false" outlineLevel="0" collapsed="false">
      <c r="A41" s="37" t="s">
        <v>472</v>
      </c>
      <c r="B41" s="39"/>
      <c r="C41" s="39"/>
      <c r="D41" s="39"/>
      <c r="E41" s="98" t="n">
        <v>0</v>
      </c>
      <c r="F41" s="61" t="n">
        <f aca="false">E46</f>
        <v>0</v>
      </c>
      <c r="G41" s="61" t="n">
        <f aca="false">F46</f>
        <v>0</v>
      </c>
      <c r="H41" s="61" t="n">
        <f aca="false">G46</f>
        <v>0</v>
      </c>
      <c r="I41" s="61" t="n">
        <f aca="false">H46</f>
        <v>0</v>
      </c>
      <c r="J41" s="61" t="n">
        <f aca="false">I46</f>
        <v>0</v>
      </c>
      <c r="K41" s="61" t="n">
        <f aca="false">J46</f>
        <v>0</v>
      </c>
      <c r="L41" s="61" t="n">
        <f aca="false">K46</f>
        <v>0</v>
      </c>
      <c r="M41" s="61" t="n">
        <f aca="false">L46</f>
        <v>0</v>
      </c>
      <c r="N41" s="61" t="n">
        <f aca="false">M46</f>
        <v>0</v>
      </c>
      <c r="O41" s="61" t="n">
        <f aca="false">N46</f>
        <v>0</v>
      </c>
      <c r="P41" s="61" t="n">
        <f aca="false">O46</f>
        <v>0</v>
      </c>
      <c r="Q41" s="61" t="n">
        <f aca="false">P46</f>
        <v>0</v>
      </c>
      <c r="R41" s="61" t="n">
        <f aca="false">Q46</f>
        <v>0</v>
      </c>
      <c r="S41" s="61" t="n">
        <f aca="false">R46</f>
        <v>0</v>
      </c>
      <c r="T41" s="61" t="n">
        <f aca="false">S46</f>
        <v>0</v>
      </c>
      <c r="U41" s="61" t="n">
        <f aca="false">T46</f>
        <v>0</v>
      </c>
      <c r="V41" s="61" t="n">
        <f aca="false">U46</f>
        <v>0</v>
      </c>
      <c r="W41" s="61" t="n">
        <f aca="false">V46</f>
        <v>0</v>
      </c>
      <c r="X41" s="61" t="n">
        <f aca="false">W46</f>
        <v>0</v>
      </c>
      <c r="Y41" s="61" t="n">
        <f aca="false">X46</f>
        <v>0</v>
      </c>
      <c r="Z41" s="61" t="n">
        <f aca="false">Y46</f>
        <v>0</v>
      </c>
      <c r="AA41" s="61" t="n">
        <f aca="false">Z46</f>
        <v>0</v>
      </c>
      <c r="AB41" s="61" t="n">
        <f aca="false">AA46</f>
        <v>0</v>
      </c>
      <c r="AC41" s="61" t="n">
        <f aca="false">AB46</f>
        <v>0</v>
      </c>
      <c r="AD41" s="61" t="n">
        <f aca="false">AC46</f>
        <v>0</v>
      </c>
      <c r="AE41" s="61" t="n">
        <f aca="false">AD46</f>
        <v>0</v>
      </c>
      <c r="AF41" s="61" t="n">
        <f aca="false">AE46</f>
        <v>0</v>
      </c>
      <c r="AG41" s="61" t="n">
        <f aca="false">AF46</f>
        <v>0</v>
      </c>
      <c r="AH41" s="61" t="n">
        <f aca="false">AG46</f>
        <v>0</v>
      </c>
      <c r="AI41" s="61" t="n">
        <f aca="false">AH46</f>
        <v>17764.2911198325</v>
      </c>
      <c r="AJ41" s="61" t="n">
        <f aca="false">AI46</f>
        <v>18855.8513246214</v>
      </c>
      <c r="AK41" s="61" t="n">
        <f aca="false">AJ46</f>
        <v>19957.9283654575</v>
      </c>
      <c r="AL41" s="61" t="n">
        <f aca="false">AK46</f>
        <v>21070.6235687175</v>
      </c>
      <c r="AM41" s="61" t="n">
        <f aca="false">AL46</f>
        <v>21280.6445567083</v>
      </c>
      <c r="AN41" s="61" t="n">
        <f aca="false">AM46</f>
        <v>21492.6890302453</v>
      </c>
      <c r="AO41" s="304" t="n">
        <f aca="false">E41</f>
        <v>0</v>
      </c>
      <c r="AP41" s="310" t="n">
        <f aca="false">AP40+1</f>
        <v>35</v>
      </c>
    </row>
    <row r="42" customFormat="false" ht="12.75" hidden="false" customHeight="false" outlineLevel="0" collapsed="false">
      <c r="A42" s="37" t="s">
        <v>692</v>
      </c>
      <c r="B42" s="39"/>
      <c r="C42" s="39"/>
      <c r="D42" s="39"/>
      <c r="E42" s="61" t="n">
        <f aca="false">IF(E$7=Fin_Close,-E26*Subdebt_Perc/SUM(Debt_Perc,Subdebt_Perc),0)</f>
        <v>0</v>
      </c>
      <c r="F42" s="61" t="n">
        <f aca="false">IF(F$7=Fin_Close,-F26*Subdebt_Perc/SUM(Debt_Perc,Subdebt_Perc),0)</f>
        <v>0</v>
      </c>
      <c r="G42" s="61" t="n">
        <f aca="false">IF(G$7=Fin_Close,-G26*Subdebt_Perc/SUM(Debt_Perc,Subdebt_Perc),0)</f>
        <v>0</v>
      </c>
      <c r="H42" s="61" t="n">
        <f aca="false">IF(H$7=Fin_Close,-H26*Subdebt_Perc/SUM(Debt_Perc,Subdebt_Perc),0)</f>
        <v>0</v>
      </c>
      <c r="I42" s="61" t="n">
        <f aca="false">IF(I$7=Fin_Close,-I26*Subdebt_Perc/SUM(Debt_Perc,Subdebt_Perc),0)</f>
        <v>0</v>
      </c>
      <c r="J42" s="61" t="n">
        <f aca="false">IF(J$7=Fin_Close,-J26*Subdebt_Perc/SUM(Debt_Perc,Subdebt_Perc),0)</f>
        <v>0</v>
      </c>
      <c r="K42" s="61" t="n">
        <f aca="false">IF(K$7=Fin_Close,-K26*Subdebt_Perc/SUM(Debt_Perc,Subdebt_Perc),0)</f>
        <v>0</v>
      </c>
      <c r="L42" s="61" t="n">
        <f aca="false">IF(L$7=Fin_Close,-L26*Subdebt_Perc/SUM(Debt_Perc,Subdebt_Perc),0)</f>
        <v>0</v>
      </c>
      <c r="M42" s="61" t="n">
        <f aca="false">IF(M$7=Fin_Close,-M26*Subdebt_Perc/SUM(Debt_Perc,Subdebt_Perc),0)</f>
        <v>0</v>
      </c>
      <c r="N42" s="61" t="n">
        <f aca="false">IF(N$7=Fin_Close,-N26*Subdebt_Perc/SUM(Debt_Perc,Subdebt_Perc),0)</f>
        <v>0</v>
      </c>
      <c r="O42" s="61" t="n">
        <f aca="false">IF(O$7=Fin_Close,-O26*Subdebt_Perc/SUM(Debt_Perc,Subdebt_Perc),0)</f>
        <v>0</v>
      </c>
      <c r="P42" s="61" t="n">
        <f aca="false">IF(P$7=Fin_Close,-P26*Subdebt_Perc/SUM(Debt_Perc,Subdebt_Perc),0)</f>
        <v>0</v>
      </c>
      <c r="Q42" s="61" t="n">
        <f aca="false">IF(Q$7=Fin_Close,-Q26*Subdebt_Perc/SUM(Debt_Perc,Subdebt_Perc),0)</f>
        <v>0</v>
      </c>
      <c r="R42" s="61" t="n">
        <f aca="false">IF(R$7=Fin_Close,-R26*Subdebt_Perc/SUM(Debt_Perc,Subdebt_Perc),0)</f>
        <v>0</v>
      </c>
      <c r="S42" s="61" t="n">
        <f aca="false">IF(S$7=Fin_Close,-S26*Subdebt_Perc/SUM(Debt_Perc,Subdebt_Perc),0)</f>
        <v>0</v>
      </c>
      <c r="T42" s="61" t="n">
        <f aca="false">IF(T$7=Fin_Close,-T26*Subdebt_Perc/SUM(Debt_Perc,Subdebt_Perc),0)</f>
        <v>0</v>
      </c>
      <c r="U42" s="61" t="n">
        <f aca="false">IF(U$7=Fin_Close,-U26*Subdebt_Perc/SUM(Debt_Perc,Subdebt_Perc),0)</f>
        <v>0</v>
      </c>
      <c r="V42" s="61" t="n">
        <f aca="false">IF(V$7=Fin_Close,-V26*Subdebt_Perc/SUM(Debt_Perc,Subdebt_Perc),0)</f>
        <v>0</v>
      </c>
      <c r="W42" s="61" t="n">
        <f aca="false">IF(W$7=Fin_Close,-W26*Subdebt_Perc/SUM(Debt_Perc,Subdebt_Perc),0)</f>
        <v>0</v>
      </c>
      <c r="X42" s="61" t="n">
        <f aca="false">IF(X$7=Fin_Close,-X26*Subdebt_Perc/SUM(Debt_Perc,Subdebt_Perc),0)</f>
        <v>0</v>
      </c>
      <c r="Y42" s="61" t="n">
        <f aca="false">IF(Y$7=Fin_Close,-Y26*Subdebt_Perc/SUM(Debt_Perc,Subdebt_Perc),0)</f>
        <v>0</v>
      </c>
      <c r="Z42" s="61" t="n">
        <f aca="false">IF(Z$7=Fin_Close,-Z26*Subdebt_Perc/SUM(Debt_Perc,Subdebt_Perc),0)</f>
        <v>0</v>
      </c>
      <c r="AA42" s="61" t="n">
        <f aca="false">IF(AA$7=Fin_Close,-AA26*Subdebt_Perc/SUM(Debt_Perc,Subdebt_Perc),0)</f>
        <v>0</v>
      </c>
      <c r="AB42" s="61" t="n">
        <f aca="false">IF(AB$7=Fin_Close,-AB26*Subdebt_Perc/SUM(Debt_Perc,Subdebt_Perc),0)</f>
        <v>0</v>
      </c>
      <c r="AC42" s="61" t="n">
        <f aca="false">IF(AC$7=Fin_Close,-AC26*Subdebt_Perc/SUM(Debt_Perc,Subdebt_Perc),0)</f>
        <v>0</v>
      </c>
      <c r="AD42" s="61" t="n">
        <f aca="false">IF(AD$7=Fin_Close,-AD26*Subdebt_Perc/SUM(Debt_Perc,Subdebt_Perc),0)</f>
        <v>0</v>
      </c>
      <c r="AE42" s="61" t="n">
        <f aca="false">IF(AE$7=Fin_Close,-AE26*Subdebt_Perc/SUM(Debt_Perc,Subdebt_Perc),0)</f>
        <v>0</v>
      </c>
      <c r="AF42" s="61" t="n">
        <f aca="false">IF(AF$7=Fin_Close,-AF26*Subdebt_Perc/SUM(Debt_Perc,Subdebt_Perc),0)</f>
        <v>0</v>
      </c>
      <c r="AG42" s="61" t="n">
        <f aca="false">IF(AG$7=Fin_Close,-AG26*Subdebt_Perc/SUM(Debt_Perc,Subdebt_Perc),0)</f>
        <v>0</v>
      </c>
      <c r="AH42" s="61" t="n">
        <f aca="false">IF(AH$7=Fin_Close,-AH26*Subdebt_Perc/SUM(Debt_Perc,Subdebt_Perc),0)</f>
        <v>16188.7338477022</v>
      </c>
      <c r="AI42" s="61" t="n">
        <f aca="false">IF(AI$7=Fin_Close,-AI26*Subdebt_Perc/SUM(Debt_Perc,Subdebt_Perc),0)</f>
        <v>0</v>
      </c>
      <c r="AJ42" s="61" t="n">
        <f aca="false">IF(AJ$7=Fin_Close,-AJ26*Subdebt_Perc/SUM(Debt_Perc,Subdebt_Perc),0)</f>
        <v>0</v>
      </c>
      <c r="AK42" s="61" t="n">
        <f aca="false">IF(AK$7=Fin_Close,-AK26*Subdebt_Perc/SUM(Debt_Perc,Subdebt_Perc),0)</f>
        <v>0</v>
      </c>
      <c r="AL42" s="61" t="n">
        <f aca="false">IF(AL$7=Fin_Close,-AL26*Subdebt_Perc/SUM(Debt_Perc,Subdebt_Perc),0)</f>
        <v>0</v>
      </c>
      <c r="AM42" s="61" t="n">
        <f aca="false">IF(AM$7=Fin_Close,-AM26*Subdebt_Perc/SUM(Debt_Perc,Subdebt_Perc),0)</f>
        <v>0</v>
      </c>
      <c r="AN42" s="61" t="n">
        <f aca="false">IF(AN$7=Fin_Close,-AN26*Subdebt_Perc/SUM(Debt_Perc,Subdebt_Perc),0)</f>
        <v>0</v>
      </c>
      <c r="AO42" s="304" t="n">
        <f aca="false">SUM(E42:AN42)</f>
        <v>16188.7338477022</v>
      </c>
      <c r="AP42" s="310" t="n">
        <f aca="false">AP41+1</f>
        <v>36</v>
      </c>
    </row>
    <row r="43" customFormat="false" ht="12.75" hidden="false" customHeight="false" outlineLevel="0" collapsed="false">
      <c r="A43" s="37" t="s">
        <v>684</v>
      </c>
      <c r="B43" s="39"/>
      <c r="C43" s="39"/>
      <c r="D43" s="39"/>
      <c r="E43" s="61" t="n">
        <f aca="false">IF(E$7&lt;Fin_Close,0,-E17*Subdebt_Perc/SUM(Debt_Perc,Subdebt_Perc))</f>
        <v>0</v>
      </c>
      <c r="F43" s="61" t="n">
        <f aca="false">IF(F$7&lt;Fin_Close,0,-F17*Subdebt_Perc/SUM(Debt_Perc,Subdebt_Perc))</f>
        <v>0</v>
      </c>
      <c r="G43" s="61" t="n">
        <f aca="false">IF(G$7&lt;Fin_Close,0,-G17*Subdebt_Perc/SUM(Debt_Perc,Subdebt_Perc))</f>
        <v>0</v>
      </c>
      <c r="H43" s="61" t="n">
        <f aca="false">IF(H$7&lt;Fin_Close,0,-H17*Subdebt_Perc/SUM(Debt_Perc,Subdebt_Perc))</f>
        <v>0</v>
      </c>
      <c r="I43" s="61" t="n">
        <f aca="false">IF(I$7&lt;Fin_Close,0,-I17*Subdebt_Perc/SUM(Debt_Perc,Subdebt_Perc))</f>
        <v>0</v>
      </c>
      <c r="J43" s="61" t="n">
        <f aca="false">IF(J$7&lt;Fin_Close,0,-J17*Subdebt_Perc/SUM(Debt_Perc,Subdebt_Perc))</f>
        <v>0</v>
      </c>
      <c r="K43" s="61" t="n">
        <f aca="false">IF(K$7&lt;Fin_Close,0,-K17*Subdebt_Perc/SUM(Debt_Perc,Subdebt_Perc))</f>
        <v>0</v>
      </c>
      <c r="L43" s="61" t="n">
        <f aca="false">IF(L$7&lt;Fin_Close,0,-L17*Subdebt_Perc/SUM(Debt_Perc,Subdebt_Perc))</f>
        <v>0</v>
      </c>
      <c r="M43" s="61" t="n">
        <f aca="false">IF(M$7&lt;Fin_Close,0,-M17*Subdebt_Perc/SUM(Debt_Perc,Subdebt_Perc))</f>
        <v>0</v>
      </c>
      <c r="N43" s="61" t="n">
        <f aca="false">IF(N$7&lt;Fin_Close,0,-N17*Subdebt_Perc/SUM(Debt_Perc,Subdebt_Perc))</f>
        <v>0</v>
      </c>
      <c r="O43" s="61" t="n">
        <f aca="false">IF(O$7&lt;Fin_Close,0,-O17*Subdebt_Perc/SUM(Debt_Perc,Subdebt_Perc))</f>
        <v>0</v>
      </c>
      <c r="P43" s="61" t="n">
        <f aca="false">IF(P$7&lt;Fin_Close,0,-P17*Subdebt_Perc/SUM(Debt_Perc,Subdebt_Perc))</f>
        <v>0</v>
      </c>
      <c r="Q43" s="61" t="n">
        <f aca="false">IF(Q$7&lt;Fin_Close,0,-Q17*Subdebt_Perc/SUM(Debt_Perc,Subdebt_Perc))</f>
        <v>0</v>
      </c>
      <c r="R43" s="61" t="n">
        <f aca="false">IF(R$7&lt;Fin_Close,0,-R17*Subdebt_Perc/SUM(Debt_Perc,Subdebt_Perc))</f>
        <v>0</v>
      </c>
      <c r="S43" s="61" t="n">
        <f aca="false">IF(S$7&lt;Fin_Close,0,-S17*Subdebt_Perc/SUM(Debt_Perc,Subdebt_Perc))</f>
        <v>0</v>
      </c>
      <c r="T43" s="61" t="n">
        <f aca="false">IF(T$7&lt;Fin_Close,0,-T17*Subdebt_Perc/SUM(Debt_Perc,Subdebt_Perc))</f>
        <v>0</v>
      </c>
      <c r="U43" s="61" t="n">
        <f aca="false">IF(U$7&lt;Fin_Close,0,-U17*Subdebt_Perc/SUM(Debt_Perc,Subdebt_Perc))</f>
        <v>0</v>
      </c>
      <c r="V43" s="61" t="n">
        <f aca="false">IF(V$7&lt;Fin_Close,0,-V17*Subdebt_Perc/SUM(Debt_Perc,Subdebt_Perc))</f>
        <v>0</v>
      </c>
      <c r="W43" s="61" t="n">
        <f aca="false">IF(W$7&lt;Fin_Close,0,-W17*Subdebt_Perc/SUM(Debt_Perc,Subdebt_Perc))</f>
        <v>0</v>
      </c>
      <c r="X43" s="61" t="n">
        <f aca="false">IF(X$7&lt;Fin_Close,0,X17*Subdebt_Perc/SUM(Debt_Perc,Subdebt_Perc))</f>
        <v>0</v>
      </c>
      <c r="Y43" s="61" t="n">
        <f aca="false">IF(Y$7&lt;Fin_Close,0,Y17*Subdebt_Perc/SUM(Debt_Perc,Subdebt_Perc))</f>
        <v>0</v>
      </c>
      <c r="Z43" s="61" t="n">
        <f aca="false">IF(Z$7&lt;Fin_Close,0,Z17*Subdebt_Perc/SUM(Debt_Perc,Subdebt_Perc))</f>
        <v>0</v>
      </c>
      <c r="AA43" s="61" t="n">
        <f aca="false">IF(AA$7&lt;Fin_Close,0,AA17*Subdebt_Perc/SUM(Debt_Perc,Subdebt_Perc))</f>
        <v>0</v>
      </c>
      <c r="AB43" s="61" t="n">
        <f aca="false">IF(AB$7&lt;Fin_Close,0,AB17*Subdebt_Perc/SUM(Debt_Perc,Subdebt_Perc))</f>
        <v>0</v>
      </c>
      <c r="AC43" s="61" t="n">
        <f aca="false">IF(AC$7&lt;Fin_Close,0,AC17*Subdebt_Perc/SUM(Debt_Perc,Subdebt_Perc))</f>
        <v>0</v>
      </c>
      <c r="AD43" s="61" t="n">
        <f aca="false">IF(AD$7&lt;Fin_Close,0,AD17*Subdebt_Perc/SUM(Debt_Perc,Subdebt_Perc))</f>
        <v>0</v>
      </c>
      <c r="AE43" s="61" t="n">
        <f aca="false">IF(AE$7&lt;Fin_Close,0,AE17*Subdebt_Perc/SUM(Debt_Perc,Subdebt_Perc))</f>
        <v>0</v>
      </c>
      <c r="AF43" s="61" t="n">
        <f aca="false">IF(AF$7&lt;Fin_Close,0,AF17*Subdebt_Perc/SUM(Debt_Perc,Subdebt_Perc))</f>
        <v>0</v>
      </c>
      <c r="AG43" s="61" t="n">
        <f aca="false">IF(AG$7&lt;Fin_Close,0,AG17*Subdebt_Perc/SUM(Debt_Perc,Subdebt_Perc))</f>
        <v>0</v>
      </c>
      <c r="AH43" s="61" t="n">
        <f aca="false">IF(AH$7&lt;Fin_Close,0,AH17*Subdebt_Perc/SUM(Debt_Perc,Subdebt_Perc))</f>
        <v>1407.23858615287</v>
      </c>
      <c r="AI43" s="61" t="n">
        <f aca="false">IF(AI$7&lt;Fin_Close,0,AI17*Subdebt_Perc/SUM(Debt_Perc,Subdebt_Perc))</f>
        <v>910.019553773309</v>
      </c>
      <c r="AJ43" s="61" t="n">
        <f aca="false">IF(AJ$7&lt;Fin_Close,0,AJ17*Subdebt_Perc/SUM(Debt_Perc,Subdebt_Perc))</f>
        <v>909.661655123114</v>
      </c>
      <c r="AK43" s="61" t="n">
        <f aca="false">IF(AK$7&lt;Fin_Close,0,AK17*Subdebt_Perc/SUM(Debt_Perc,Subdebt_Perc))</f>
        <v>909.300308233043</v>
      </c>
      <c r="AL43" s="61" t="n">
        <f aca="false">IF(AL$7&lt;Fin_Close,0,AL17*Subdebt_Perc/SUM(Debt_Perc,Subdebt_Perc))</f>
        <v>0.0688612756169461</v>
      </c>
      <c r="AM43" s="61" t="n">
        <f aca="false">IF(AM$7&lt;Fin_Close,0,AM17*Subdebt_Perc/SUM(Debt_Perc,Subdebt_Perc))</f>
        <v>-5.43389849167941E-016</v>
      </c>
      <c r="AN43" s="61" t="n">
        <f aca="false">IF(AN$7&lt;Fin_Close,0,AN17*Subdebt_Perc/SUM(Debt_Perc,Subdebt_Perc))</f>
        <v>-1.22245075249113E-015</v>
      </c>
      <c r="AO43" s="304" t="n">
        <f aca="false">SUM(E43:AN43)</f>
        <v>4136.28896455796</v>
      </c>
      <c r="AP43" s="310" t="n">
        <f aca="false">AP42+1</f>
        <v>37</v>
      </c>
    </row>
    <row r="44" customFormat="false" ht="12.75" hidden="false" customHeight="false" outlineLevel="0" collapsed="false">
      <c r="A44" s="37" t="s">
        <v>689</v>
      </c>
      <c r="B44" s="39"/>
      <c r="C44" s="39"/>
      <c r="D44" s="39"/>
      <c r="E44" s="61" t="n">
        <f aca="false">IF(E$7&lt;Fin_Close,0,-E18*Subdebt_Perc/SUM(Debt_Perc,Subdebt_Perc))</f>
        <v>0</v>
      </c>
      <c r="F44" s="61" t="n">
        <f aca="false">IF(F$7&lt;Fin_Close,0,-F18*Subdebt_Perc/SUM(Debt_Perc,Subdebt_Perc))</f>
        <v>0</v>
      </c>
      <c r="G44" s="61" t="n">
        <f aca="false">IF(G$7&lt;Fin_Close,0,-G18*Subdebt_Perc/SUM(Debt_Perc,Subdebt_Perc))</f>
        <v>0</v>
      </c>
      <c r="H44" s="61" t="n">
        <f aca="false">IF(H$7&lt;Fin_Close,0,-H18*Subdebt_Perc/SUM(Debt_Perc,Subdebt_Perc))</f>
        <v>0</v>
      </c>
      <c r="I44" s="61" t="n">
        <f aca="false">IF(I$7&lt;Fin_Close,0,-I18*Subdebt_Perc/SUM(Debt_Perc,Subdebt_Perc))</f>
        <v>0</v>
      </c>
      <c r="J44" s="61" t="n">
        <f aca="false">IF(J$7&lt;Fin_Close,0,-J18*Subdebt_Perc/SUM(Debt_Perc,Subdebt_Perc))</f>
        <v>0</v>
      </c>
      <c r="K44" s="61" t="n">
        <f aca="false">IF(K$7&lt;Fin_Close,0,-K18*Subdebt_Perc/SUM(Debt_Perc,Subdebt_Perc))</f>
        <v>0</v>
      </c>
      <c r="L44" s="61" t="n">
        <f aca="false">IF(L$7&lt;Fin_Close,0,-L18*Subdebt_Perc/SUM(Debt_Perc,Subdebt_Perc))</f>
        <v>0</v>
      </c>
      <c r="M44" s="61" t="n">
        <f aca="false">IF(M$7&lt;Fin_Close,0,-M18*Subdebt_Perc/SUM(Debt_Perc,Subdebt_Perc))</f>
        <v>0</v>
      </c>
      <c r="N44" s="61" t="n">
        <f aca="false">IF(N$7&lt;Fin_Close,0,-N18*Subdebt_Perc/SUM(Debt_Perc,Subdebt_Perc))</f>
        <v>0</v>
      </c>
      <c r="O44" s="61" t="n">
        <f aca="false">IF(O$7&lt;Fin_Close,0,-O18*Subdebt_Perc/SUM(Debt_Perc,Subdebt_Perc))</f>
        <v>0</v>
      </c>
      <c r="P44" s="61" t="n">
        <f aca="false">IF(P$7&lt;Fin_Close,0,-P18*Subdebt_Perc/SUM(Debt_Perc,Subdebt_Perc))</f>
        <v>0</v>
      </c>
      <c r="Q44" s="61" t="n">
        <f aca="false">IF(Q$7&lt;Fin_Close,0,-Q18*Subdebt_Perc/SUM(Debt_Perc,Subdebt_Perc))</f>
        <v>0</v>
      </c>
      <c r="R44" s="61" t="n">
        <f aca="false">IF(R$7&lt;Fin_Close,0,-R18*Subdebt_Perc/SUM(Debt_Perc,Subdebt_Perc))</f>
        <v>0</v>
      </c>
      <c r="S44" s="61" t="n">
        <f aca="false">IF(S$7&lt;Fin_Close,0,-S18*Subdebt_Perc/SUM(Debt_Perc,Subdebt_Perc))</f>
        <v>0</v>
      </c>
      <c r="T44" s="61" t="n">
        <f aca="false">IF(T$7&lt;Fin_Close,0,-T18*Subdebt_Perc/SUM(Debt_Perc,Subdebt_Perc))</f>
        <v>0</v>
      </c>
      <c r="U44" s="61" t="n">
        <f aca="false">IF(U$7&lt;Fin_Close,0,-U18*Subdebt_Perc/SUM(Debt_Perc,Subdebt_Perc))</f>
        <v>0</v>
      </c>
      <c r="V44" s="61" t="n">
        <f aca="false">IF(V$7&lt;Fin_Close,0,-V18*Subdebt_Perc/SUM(Debt_Perc,Subdebt_Perc))</f>
        <v>0</v>
      </c>
      <c r="W44" s="61" t="n">
        <f aca="false">IF(W$7&lt;Fin_Close,0,-W18*Subdebt_Perc/SUM(Debt_Perc,Subdebt_Perc))</f>
        <v>0</v>
      </c>
      <c r="X44" s="61" t="n">
        <f aca="false">IF(X$7&lt;Fin_Close,0,X18*Subdebt_Perc/SUM(Debt_Perc,Subdebt_Perc))</f>
        <v>0</v>
      </c>
      <c r="Y44" s="61" t="n">
        <f aca="false">IF(Y$7&lt;Fin_Close,0,Y18*Subdebt_Perc/SUM(Debt_Perc,Subdebt_Perc))</f>
        <v>0</v>
      </c>
      <c r="Z44" s="61" t="n">
        <f aca="false">IF(Z$7&lt;Fin_Close,0,Z18*Subdebt_Perc/SUM(Debt_Perc,Subdebt_Perc))</f>
        <v>0</v>
      </c>
      <c r="AA44" s="61" t="n">
        <f aca="false">IF(AA$7&lt;Fin_Close,0,AA18*Subdebt_Perc/SUM(Debt_Perc,Subdebt_Perc))</f>
        <v>0</v>
      </c>
      <c r="AB44" s="61" t="n">
        <f aca="false">IF(AB$7&lt;Fin_Close,0,AB18*Subdebt_Perc/SUM(Debt_Perc,Subdebt_Perc))</f>
        <v>0</v>
      </c>
      <c r="AC44" s="61" t="n">
        <f aca="false">IF(AC$7&lt;Fin_Close,0,AC18*Subdebt_Perc/SUM(Debt_Perc,Subdebt_Perc))</f>
        <v>0</v>
      </c>
      <c r="AD44" s="61" t="n">
        <f aca="false">IF(AD$7&lt;Fin_Close,0,AD18*Subdebt_Perc/SUM(Debt_Perc,Subdebt_Perc))</f>
        <v>0</v>
      </c>
      <c r="AE44" s="61" t="n">
        <f aca="false">IF(AE$7&lt;Fin_Close,0,AE18*Subdebt_Perc/SUM(Debt_Perc,Subdebt_Perc))</f>
        <v>0</v>
      </c>
      <c r="AF44" s="61" t="n">
        <f aca="false">IF(AF$7&lt;Fin_Close,0,AF18*Subdebt_Perc/SUM(Debt_Perc,Subdebt_Perc))</f>
        <v>0</v>
      </c>
      <c r="AG44" s="61" t="n">
        <f aca="false">IF(AG$7&lt;Fin_Close,0,AG18*Subdebt_Perc/SUM(Debt_Perc,Subdebt_Perc))</f>
        <v>0</v>
      </c>
      <c r="AH44" s="61" t="n">
        <f aca="false">IF(AH$7&lt;Fin_Close,0,AH18*Subdebt_Perc/SUM(Debt_Perc,Subdebt_Perc))</f>
        <v>161.194523355707</v>
      </c>
      <c r="AI44" s="61" t="n">
        <f aca="false">IF(AI$7&lt;Fin_Close,0,AI18*Subdebt_Perc/SUM(Debt_Perc,Subdebt_Perc))</f>
        <v>173.856862892074</v>
      </c>
      <c r="AJ44" s="61" t="n">
        <f aca="false">IF(AJ$7&lt;Fin_Close,0,AJ18*Subdebt_Perc/SUM(Debt_Perc,Subdebt_Perc))</f>
        <v>184.271319647016</v>
      </c>
      <c r="AK44" s="61" t="n">
        <f aca="false">IF(AK$7&lt;Fin_Close,0,AK18*Subdebt_Perc/SUM(Debt_Perc,Subdebt_Perc))</f>
        <v>194.786116386625</v>
      </c>
      <c r="AL44" s="61" t="n">
        <f aca="false">IF(AL$7&lt;Fin_Close,0,AL18*Subdebt_Perc/SUM(Debt_Perc,Subdebt_Perc))</f>
        <v>201.065810351667</v>
      </c>
      <c r="AM44" s="61" t="n">
        <f aca="false">IF(AM$7&lt;Fin_Close,0,AM18*Subdebt_Perc/SUM(Debt_Perc,Subdebt_Perc))</f>
        <v>203.069597671381</v>
      </c>
      <c r="AN44" s="61" t="n">
        <f aca="false">IF(AN$7&lt;Fin_Close,0,AN18*Subdebt_Perc/SUM(Debt_Perc,Subdebt_Perc))</f>
        <v>0</v>
      </c>
      <c r="AO44" s="304" t="n">
        <f aca="false">SUM(E44:AN44)</f>
        <v>1118.24423030447</v>
      </c>
      <c r="AP44" s="310" t="n">
        <f aca="false">AP43+1</f>
        <v>38</v>
      </c>
    </row>
    <row r="45" customFormat="false" ht="12.75" hidden="false" customHeight="false" outlineLevel="0" collapsed="false">
      <c r="A45" s="37" t="s">
        <v>690</v>
      </c>
      <c r="B45" s="39"/>
      <c r="C45" s="39"/>
      <c r="D45" s="39"/>
      <c r="E45" s="306" t="n">
        <f aca="false">IF(E$7&lt;Fin_Close,0,-E19*Subdebt_Perc/SUM(Debt_Perc,Subdebt_Perc))</f>
        <v>0</v>
      </c>
      <c r="F45" s="306" t="n">
        <f aca="false">IF(F$7&lt;Fin_Close,0,-F19*Subdebt_Perc/SUM(Debt_Perc,Subdebt_Perc))</f>
        <v>0</v>
      </c>
      <c r="G45" s="306" t="n">
        <f aca="false">IF(G$7&lt;Fin_Close,0,-G19*Subdebt_Perc/SUM(Debt_Perc,Subdebt_Perc))</f>
        <v>0</v>
      </c>
      <c r="H45" s="306" t="n">
        <f aca="false">IF(H$7&lt;Fin_Close,0,-H19*Subdebt_Perc/SUM(Debt_Perc,Subdebt_Perc))</f>
        <v>0</v>
      </c>
      <c r="I45" s="306" t="n">
        <f aca="false">IF(I$7&lt;Fin_Close,0,-I19*Subdebt_Perc/SUM(Debt_Perc,Subdebt_Perc))</f>
        <v>0</v>
      </c>
      <c r="J45" s="306" t="n">
        <f aca="false">IF(J$7&lt;Fin_Close,0,-J19*Subdebt_Perc/SUM(Debt_Perc,Subdebt_Perc))</f>
        <v>0</v>
      </c>
      <c r="K45" s="306" t="n">
        <f aca="false">IF(K$7&lt;Fin_Close,0,-K19*Subdebt_Perc/SUM(Debt_Perc,Subdebt_Perc))</f>
        <v>0</v>
      </c>
      <c r="L45" s="306" t="n">
        <f aca="false">IF(L$7&lt;Fin_Close,0,-L19*Subdebt_Perc/SUM(Debt_Perc,Subdebt_Perc))</f>
        <v>0</v>
      </c>
      <c r="M45" s="306" t="n">
        <f aca="false">IF(M$7&lt;Fin_Close,0,-M19*Subdebt_Perc/SUM(Debt_Perc,Subdebt_Perc))</f>
        <v>0</v>
      </c>
      <c r="N45" s="306" t="n">
        <f aca="false">IF(N$7&lt;Fin_Close,0,-N19*Subdebt_Perc/SUM(Debt_Perc,Subdebt_Perc))</f>
        <v>0</v>
      </c>
      <c r="O45" s="306" t="n">
        <f aca="false">IF(O$7&lt;Fin_Close,0,-O19*Subdebt_Perc/SUM(Debt_Perc,Subdebt_Perc))</f>
        <v>0</v>
      </c>
      <c r="P45" s="306" t="n">
        <f aca="false">IF(P$7&lt;Fin_Close,0,-P19*Subdebt_Perc/SUM(Debt_Perc,Subdebt_Perc))</f>
        <v>0</v>
      </c>
      <c r="Q45" s="306" t="n">
        <f aca="false">IF(Q$7&lt;Fin_Close,0,-Q19*Subdebt_Perc/SUM(Debt_Perc,Subdebt_Perc))</f>
        <v>0</v>
      </c>
      <c r="R45" s="306" t="n">
        <f aca="false">IF(R$7&lt;Fin_Close,0,-R19*Subdebt_Perc/SUM(Debt_Perc,Subdebt_Perc))</f>
        <v>0</v>
      </c>
      <c r="S45" s="306" t="n">
        <f aca="false">IF(S$7&lt;Fin_Close,0,-S19*Subdebt_Perc/SUM(Debt_Perc,Subdebt_Perc))</f>
        <v>0</v>
      </c>
      <c r="T45" s="306" t="n">
        <f aca="false">IF(T$7&lt;Fin_Close,0,-T19*Subdebt_Perc/SUM(Debt_Perc,Subdebt_Perc))</f>
        <v>0</v>
      </c>
      <c r="U45" s="306" t="n">
        <f aca="false">IF(U$7&lt;Fin_Close,0,-U19*Subdebt_Perc/SUM(Debt_Perc,Subdebt_Perc))</f>
        <v>0</v>
      </c>
      <c r="V45" s="306" t="n">
        <f aca="false">IF(V$7&lt;Fin_Close,0,-V19*Subdebt_Perc/SUM(Debt_Perc,Subdebt_Perc))</f>
        <v>0</v>
      </c>
      <c r="W45" s="306" t="n">
        <f aca="false">IF(W$7&lt;Fin_Close,0,-W19*Subdebt_Perc/SUM(Debt_Perc,Subdebt_Perc))</f>
        <v>0</v>
      </c>
      <c r="X45" s="306" t="n">
        <f aca="false">IF(X$7&lt;Fin_Close,0,X19*Subdebt_Perc/SUM(Debt_Perc,Subdebt_Perc))</f>
        <v>0</v>
      </c>
      <c r="Y45" s="306" t="n">
        <f aca="false">IF(Y$7&lt;Fin_Close,0,Y19*Subdebt_Perc/SUM(Debt_Perc,Subdebt_Perc))</f>
        <v>0</v>
      </c>
      <c r="Z45" s="306" t="n">
        <f aca="false">IF(Z$7&lt;Fin_Close,0,Z19*Subdebt_Perc/SUM(Debt_Perc,Subdebt_Perc))</f>
        <v>0</v>
      </c>
      <c r="AA45" s="306" t="n">
        <f aca="false">IF(AA$7&lt;Fin_Close,0,AA19*Subdebt_Perc/SUM(Debt_Perc,Subdebt_Perc))</f>
        <v>0</v>
      </c>
      <c r="AB45" s="306" t="n">
        <f aca="false">IF(AB$7&lt;Fin_Close,0,AB19*Subdebt_Perc/SUM(Debt_Perc,Subdebt_Perc))</f>
        <v>0</v>
      </c>
      <c r="AC45" s="306" t="n">
        <f aca="false">IF(AC$7&lt;Fin_Close,0,AC19*Subdebt_Perc/SUM(Debt_Perc,Subdebt_Perc))</f>
        <v>0</v>
      </c>
      <c r="AD45" s="306" t="n">
        <f aca="false">IF(AD$7&lt;Fin_Close,0,AD19*Subdebt_Perc/SUM(Debt_Perc,Subdebt_Perc))</f>
        <v>0</v>
      </c>
      <c r="AE45" s="306" t="n">
        <f aca="false">IF(AE$7&lt;Fin_Close,0,AE19*Subdebt_Perc/SUM(Debt_Perc,Subdebt_Perc))</f>
        <v>0</v>
      </c>
      <c r="AF45" s="306" t="n">
        <f aca="false">IF(AF$7&lt;Fin_Close,0,AF19*Subdebt_Perc/SUM(Debt_Perc,Subdebt_Perc))</f>
        <v>0</v>
      </c>
      <c r="AG45" s="306" t="n">
        <f aca="false">IF(AG$7&lt;Fin_Close,0,AG19*Subdebt_Perc/SUM(Debt_Perc,Subdebt_Perc))</f>
        <v>0</v>
      </c>
      <c r="AH45" s="306" t="n">
        <f aca="false">IF(AH$7&lt;Fin_Close,0,AH19*Subdebt_Perc/SUM(Debt_Perc,Subdebt_Perc))</f>
        <v>7.12416262170187</v>
      </c>
      <c r="AI45" s="306" t="n">
        <f aca="false">IF(AI$7&lt;Fin_Close,0,AI19*Subdebt_Perc/SUM(Debt_Perc,Subdebt_Perc))</f>
        <v>7.68378812355108</v>
      </c>
      <c r="AJ45" s="306" t="n">
        <f aca="false">IF(AJ$7&lt;Fin_Close,0,AJ19*Subdebt_Perc/SUM(Debt_Perc,Subdebt_Perc))</f>
        <v>8.14406606596705</v>
      </c>
      <c r="AK45" s="306" t="n">
        <f aca="false">IF(AK$7&lt;Fin_Close,0,AK19*Subdebt_Perc/SUM(Debt_Perc,Subdebt_Perc))</f>
        <v>8.60877864023867</v>
      </c>
      <c r="AL45" s="306" t="n">
        <f aca="false">IF(AL$7&lt;Fin_Close,0,AL19*Subdebt_Perc/SUM(Debt_Perc,Subdebt_Perc))</f>
        <v>8.88631636354429</v>
      </c>
      <c r="AM45" s="306" t="n">
        <f aca="false">IF(AM$7&lt;Fin_Close,0,AM19*Subdebt_Perc/SUM(Debt_Perc,Subdebt_Perc))</f>
        <v>8.97487586561525</v>
      </c>
      <c r="AN45" s="306" t="n">
        <f aca="false">IF(AN$7&lt;Fin_Close,0,AN19*Subdebt_Perc/SUM(Debt_Perc,Subdebt_Perc))</f>
        <v>0</v>
      </c>
      <c r="AO45" s="307" t="n">
        <f aca="false">SUM(E45:AN45)</f>
        <v>49.4219876806182</v>
      </c>
      <c r="AP45" s="310" t="n">
        <f aca="false">AP44+1</f>
        <v>39</v>
      </c>
    </row>
    <row r="46" customFormat="false" ht="12.75" hidden="false" customHeight="false" outlineLevel="0" collapsed="false">
      <c r="A46" s="37" t="s">
        <v>476</v>
      </c>
      <c r="B46" s="39"/>
      <c r="C46" s="39"/>
      <c r="D46" s="39"/>
      <c r="E46" s="61" t="n">
        <f aca="false">SUM(E41:E45)</f>
        <v>0</v>
      </c>
      <c r="F46" s="61" t="n">
        <f aca="false">SUM(F41:F45)</f>
        <v>0</v>
      </c>
      <c r="G46" s="61" t="n">
        <f aca="false">SUM(G41:G45)</f>
        <v>0</v>
      </c>
      <c r="H46" s="61" t="n">
        <f aca="false">SUM(H41:H45)</f>
        <v>0</v>
      </c>
      <c r="I46" s="61" t="n">
        <f aca="false">SUM(I41:I45)</f>
        <v>0</v>
      </c>
      <c r="J46" s="61" t="n">
        <f aca="false">SUM(J41:J45)</f>
        <v>0</v>
      </c>
      <c r="K46" s="61" t="n">
        <f aca="false">SUM(K41:K45)</f>
        <v>0</v>
      </c>
      <c r="L46" s="61" t="n">
        <f aca="false">SUM(L41:L45)</f>
        <v>0</v>
      </c>
      <c r="M46" s="61" t="n">
        <f aca="false">SUM(M41:M45)</f>
        <v>0</v>
      </c>
      <c r="N46" s="61" t="n">
        <f aca="false">SUM(N41:N45)</f>
        <v>0</v>
      </c>
      <c r="O46" s="61" t="n">
        <f aca="false">SUM(O41:O45)</f>
        <v>0</v>
      </c>
      <c r="P46" s="61" t="n">
        <f aca="false">SUM(P41:P45)</f>
        <v>0</v>
      </c>
      <c r="Q46" s="61" t="n">
        <f aca="false">SUM(Q41:Q45)</f>
        <v>0</v>
      </c>
      <c r="R46" s="61" t="n">
        <f aca="false">SUM(R41:R45)</f>
        <v>0</v>
      </c>
      <c r="S46" s="61" t="n">
        <f aca="false">SUM(S41:S45)</f>
        <v>0</v>
      </c>
      <c r="T46" s="61" t="n">
        <f aca="false">SUM(T41:T45)</f>
        <v>0</v>
      </c>
      <c r="U46" s="61" t="n">
        <f aca="false">SUM(U41:U45)</f>
        <v>0</v>
      </c>
      <c r="V46" s="61" t="n">
        <f aca="false">SUM(V41:V45)</f>
        <v>0</v>
      </c>
      <c r="W46" s="61" t="n">
        <f aca="false">SUM(W41:W45)</f>
        <v>0</v>
      </c>
      <c r="X46" s="61" t="n">
        <f aca="false">SUM(X41:X45)</f>
        <v>0</v>
      </c>
      <c r="Y46" s="61" t="n">
        <f aca="false">SUM(Y41:Y45)</f>
        <v>0</v>
      </c>
      <c r="Z46" s="61" t="n">
        <f aca="false">SUM(Z41:Z45)</f>
        <v>0</v>
      </c>
      <c r="AA46" s="61" t="n">
        <f aca="false">SUM(AA41:AA45)</f>
        <v>0</v>
      </c>
      <c r="AB46" s="61" t="n">
        <f aca="false">SUM(AB41:AB45)</f>
        <v>0</v>
      </c>
      <c r="AC46" s="61" t="n">
        <f aca="false">SUM(AC41:AC45)</f>
        <v>0</v>
      </c>
      <c r="AD46" s="61" t="n">
        <f aca="false">SUM(AD41:AD45)</f>
        <v>0</v>
      </c>
      <c r="AE46" s="61" t="n">
        <f aca="false">SUM(AE41:AE45)</f>
        <v>0</v>
      </c>
      <c r="AF46" s="61" t="n">
        <f aca="false">SUM(AF41:AF45)</f>
        <v>0</v>
      </c>
      <c r="AG46" s="61" t="n">
        <f aca="false">SUM(AG41:AG45)</f>
        <v>0</v>
      </c>
      <c r="AH46" s="61" t="n">
        <f aca="false">SUM(AH41:AH45)</f>
        <v>17764.2911198325</v>
      </c>
      <c r="AI46" s="61" t="n">
        <f aca="false">SUM(AI41:AI45)</f>
        <v>18855.8513246214</v>
      </c>
      <c r="AJ46" s="61" t="n">
        <f aca="false">SUM(AJ41:AJ45)</f>
        <v>19957.9283654575</v>
      </c>
      <c r="AK46" s="61" t="n">
        <f aca="false">SUM(AK41:AK45)</f>
        <v>21070.6235687175</v>
      </c>
      <c r="AL46" s="61" t="n">
        <f aca="false">SUM(AL41:AL45)</f>
        <v>21280.6445567083</v>
      </c>
      <c r="AM46" s="61" t="n">
        <f aca="false">SUM(AM41:AM45)</f>
        <v>21492.6890302453</v>
      </c>
      <c r="AN46" s="61" t="n">
        <f aca="false">SUM(AN41:AN45)</f>
        <v>21492.6890302453</v>
      </c>
      <c r="AO46" s="304" t="n">
        <f aca="false">SUM(AO41:AO45)</f>
        <v>21492.6890302453</v>
      </c>
      <c r="AP46" s="310" t="n">
        <f aca="false">AP45+1</f>
        <v>40</v>
      </c>
    </row>
    <row r="47" customFormat="false" ht="12.75" hidden="false" customHeight="false" outlineLevel="0" collapsed="false">
      <c r="A47" s="37"/>
      <c r="B47" s="39"/>
      <c r="C47" s="39"/>
      <c r="D47" s="39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298"/>
      <c r="AP47" s="310" t="n">
        <f aca="false">AP46+1</f>
        <v>41</v>
      </c>
    </row>
    <row r="48" customFormat="false" ht="12.75" hidden="false" customHeight="false" outlineLevel="0" collapsed="false">
      <c r="A48" s="305" t="s">
        <v>693</v>
      </c>
      <c r="B48" s="105"/>
      <c r="C48" s="105"/>
      <c r="D48" s="105"/>
      <c r="E48" s="782" t="n">
        <f aca="false">IF(E$7&lt;Startops1,(SUM(E25:E26)+E27/2)*$D$11/12,0)</f>
        <v>0</v>
      </c>
      <c r="F48" s="782" t="n">
        <f aca="false">IF(F$7&lt;Startops1,(SUM(F25:F26)+F27/2)*$D$11/12,0)</f>
        <v>0</v>
      </c>
      <c r="G48" s="782" t="n">
        <f aca="false">IF(G$7&lt;Startops1,(SUM(G25:G26)+G27/2)*$D$11/12,0)</f>
        <v>0</v>
      </c>
      <c r="H48" s="782" t="n">
        <f aca="false">IF(H$7&lt;Startops1,(SUM(H25:H26)+H27/2)*$D$11/12,0)</f>
        <v>0</v>
      </c>
      <c r="I48" s="782" t="n">
        <f aca="false">IF(I$7&lt;Startops1,(SUM(I25:I26)+I27/2)*$D$11/12,0)</f>
        <v>0</v>
      </c>
      <c r="J48" s="782" t="n">
        <f aca="false">IF(J$7&lt;Startops1,(SUM(J25:J26)+J27/2)*$D$11/12,0)</f>
        <v>0</v>
      </c>
      <c r="K48" s="782" t="n">
        <f aca="false">IF(K$7&lt;Startops1,(SUM(K25:K26)+K27/2)*$D$11/12,0)</f>
        <v>0</v>
      </c>
      <c r="L48" s="782" t="n">
        <f aca="false">IF(L$7&lt;Startops1,(SUM(L25:L26)+L27/2)*$D$11/12,0)</f>
        <v>0</v>
      </c>
      <c r="M48" s="782" t="n">
        <f aca="false">IF(M$7&lt;Startops1,(SUM(M25:M26)+M27/2)*$D$11/12,0)</f>
        <v>0</v>
      </c>
      <c r="N48" s="782" t="n">
        <f aca="false">IF(N$7&lt;Startops1,(SUM(N25:N26)+N27/2)*$D$11/12,0)</f>
        <v>0</v>
      </c>
      <c r="O48" s="782" t="n">
        <f aca="false">IF(O$7&lt;Startops1,(SUM(O25:O26)+O27/2)*$D$11/12,0)</f>
        <v>0</v>
      </c>
      <c r="P48" s="782" t="n">
        <f aca="false">IF(P$7&lt;Startops1,(SUM(P25:P26)+P27/2)*$D$11/12,0)</f>
        <v>0</v>
      </c>
      <c r="Q48" s="782" t="n">
        <f aca="false">IF(Q$7&lt;Startops1,(SUM(Q25:Q26)+Q27/2)*$D$11/12,0)</f>
        <v>0</v>
      </c>
      <c r="R48" s="782" t="n">
        <f aca="false">IF(R$7&lt;Startops1,(SUM(R25:R26)+R27/2)*$D$11/12,0)</f>
        <v>0</v>
      </c>
      <c r="S48" s="782" t="n">
        <f aca="false">IF(S$7&lt;Startops1,(SUM(S25:S26)+S27/2)*$D$11/12,0)</f>
        <v>0</v>
      </c>
      <c r="T48" s="782" t="n">
        <f aca="false">IF(T$7&lt;Startops1,(SUM(T25:T26)+T27/2)*$D$11/12,0)</f>
        <v>21.4063614049587</v>
      </c>
      <c r="U48" s="782" t="n">
        <f aca="false">IF(U$7&lt;Startops1,(SUM(U25:U26)+U27/2)*$D$11/12,0)</f>
        <v>45.7527692857428</v>
      </c>
      <c r="V48" s="782" t="n">
        <f aca="false">IF(V$7&lt;Startops1,(SUM(V25:V26)+V27/2)*$D$11/12,0)</f>
        <v>53.7786216126143</v>
      </c>
      <c r="W48" s="782" t="n">
        <f aca="false">IF(W$7&lt;Startops1,(SUM(W25:W26)+W27/2)*$D$11/12,0)</f>
        <v>73.0830771162862</v>
      </c>
      <c r="X48" s="782" t="n">
        <f aca="false">IF(X$7&lt;Startops1,(SUM(X25:X26)+X27/2)*$D$11/12,0)</f>
        <v>102.87518039656</v>
      </c>
      <c r="Y48" s="782" t="n">
        <f aca="false">IF(Y$7&lt;Startops1,(SUM(Y25:Y26)+Y27/2)*$D$11/12,0)</f>
        <v>127.07031522038</v>
      </c>
      <c r="Z48" s="782" t="n">
        <f aca="false">IF(Z$7&lt;Startops1,(SUM(Z25:Z26)+Z27/2)*$D$11/12,0)</f>
        <v>150.396952233677</v>
      </c>
      <c r="AA48" s="782" t="n">
        <f aca="false">IF(AA$7&lt;Startops1,(SUM(AA25:AA26)+AA27/2)*$D$11/12,0)</f>
        <v>176.863618911696</v>
      </c>
      <c r="AB48" s="782" t="n">
        <f aca="false">IF(AB$7&lt;Startops1,(SUM(AB25:AB26)+AB27/2)*$D$11/12,0)</f>
        <v>189.854703250351</v>
      </c>
      <c r="AC48" s="782" t="n">
        <f aca="false">IF(AC$7&lt;Startops1,(SUM(AC25:AC26)+AC27/2)*$D$11/12,0)</f>
        <v>204.017951741926</v>
      </c>
      <c r="AD48" s="782" t="n">
        <f aca="false">IF(AD$7&lt;Startops1,(SUM(AD25:AD26)+AD27/2)*$D$11/12,0)</f>
        <v>230.676360418535</v>
      </c>
      <c r="AE48" s="782" t="n">
        <f aca="false">IF(AE$7&lt;Startops1,(SUM(AE25:AE26)+AE27/2)*$D$11/12,0)</f>
        <v>258.206160295079</v>
      </c>
      <c r="AF48" s="782" t="n">
        <f aca="false">IF(AF$7&lt;Startops1,(SUM(AF25:AF26)+AF27/2)*$D$11/12,0)</f>
        <v>304.849027333859</v>
      </c>
      <c r="AG48" s="782" t="n">
        <f aca="false">IF(AG$7&lt;Startops1,(SUM(AG25:AG26)+AG27/2)*$D$11/12,0)</f>
        <v>351.766264178749</v>
      </c>
      <c r="AH48" s="782" t="n">
        <f aca="false">IF(AH$7&lt;Startops1,(SUM(AH25:AH26)+AH27/2)*$D$11/12,0)</f>
        <v>0</v>
      </c>
      <c r="AI48" s="782" t="n">
        <f aca="false">IF(AI$7&lt;Startops1,(SUM(AI25:AI26)+AI27/2)*$D$11/12,0)</f>
        <v>0</v>
      </c>
      <c r="AJ48" s="782" t="n">
        <f aca="false">IF(AJ$7&lt;Startops1,(SUM(AJ25:AJ26)+AJ27/2)*$D$11/12,0)</f>
        <v>0</v>
      </c>
      <c r="AK48" s="782" t="n">
        <f aca="false">IF(AK$7&lt;Startops1,(SUM(AK25:AK26)+AK27/2)*$D$11/12,0)</f>
        <v>0</v>
      </c>
      <c r="AL48" s="782" t="n">
        <f aca="false">IF(AL$7&lt;Startops1,(SUM(AL25:AL26)+AL27/2)*$D$11/12,0)</f>
        <v>0</v>
      </c>
      <c r="AM48" s="782" t="n">
        <f aca="false">IF(AM$7&lt;Startops1,(SUM(AM25:AM26)+AM27/2)*$D$11/12,0)</f>
        <v>0</v>
      </c>
      <c r="AN48" s="782" t="n">
        <f aca="false">IF(AN$7&lt;Startops1,(SUM(AN25:AN26)+AN27/2)*$D$11/12,0)</f>
        <v>0</v>
      </c>
      <c r="AO48" s="783" t="n">
        <f aca="false">SUM(E48:AN48)</f>
        <v>2290.59736340041</v>
      </c>
      <c r="AP48" s="310" t="n">
        <f aca="false">AP47+1</f>
        <v>42</v>
      </c>
    </row>
    <row r="49" customFormat="false" ht="12.75" hidden="false" customHeight="false" outlineLevel="0" collapsed="false">
      <c r="A49" s="305" t="s">
        <v>694</v>
      </c>
      <c r="B49" s="105"/>
      <c r="C49" s="105"/>
      <c r="D49" s="105"/>
      <c r="E49" s="782" t="n">
        <f aca="false">IF(E$7&lt;Startops1,(SUM(E33:E34)+E35/2)*$D$12/12,0)</f>
        <v>0</v>
      </c>
      <c r="F49" s="782" t="n">
        <f aca="false">IF(F$7&lt;Startops1,(SUM(F33:F34)+F35/2)*$D$12/12,0)</f>
        <v>0</v>
      </c>
      <c r="G49" s="782" t="n">
        <f aca="false">IF(G$7&lt;Startops1,(SUM(G33:G34)+G35/2)*$D$12/12,0)</f>
        <v>0</v>
      </c>
      <c r="H49" s="782" t="n">
        <f aca="false">IF(H$7&lt;Startops1,(SUM(H33:H34)+H35/2)*$D$12/12,0)</f>
        <v>0</v>
      </c>
      <c r="I49" s="782" t="n">
        <f aca="false">IF(I$7&lt;Startops1,(SUM(I33:I34)+I35/2)*$D$12/12,0)</f>
        <v>0</v>
      </c>
      <c r="J49" s="782" t="n">
        <f aca="false">IF(J$7&lt;Startops1,(SUM(J33:J34)+J35/2)*$D$12/12,0)</f>
        <v>0</v>
      </c>
      <c r="K49" s="782" t="n">
        <f aca="false">IF(K$7&lt;Startops1,(SUM(K33:K34)+K35/2)*$D$12/12,0)</f>
        <v>0</v>
      </c>
      <c r="L49" s="782" t="n">
        <f aca="false">IF(L$7&lt;Startops1,(SUM(L33:L34)+L35/2)*$D$12/12,0)</f>
        <v>0</v>
      </c>
      <c r="M49" s="782" t="n">
        <f aca="false">IF(M$7&lt;Startops1,(SUM(M33:M34)+M35/2)*$D$12/12,0)</f>
        <v>0</v>
      </c>
      <c r="N49" s="782" t="n">
        <f aca="false">IF(N$7&lt;Startops1,(SUM(N33:N34)+N35/2)*$D$12/12,0)</f>
        <v>0</v>
      </c>
      <c r="O49" s="782" t="n">
        <f aca="false">IF(O$7&lt;Startops1,(SUM(O33:O34)+O35/2)*$D$12/12,0)</f>
        <v>0</v>
      </c>
      <c r="P49" s="782" t="n">
        <f aca="false">IF(P$7&lt;Startops1,(SUM(P33:P34)+P35/2)*$D$12/12,0)</f>
        <v>0</v>
      </c>
      <c r="Q49" s="782" t="n">
        <f aca="false">IF(Q$7&lt;Startops1,(SUM(Q33:Q34)+Q35/2)*$D$12/12,0)</f>
        <v>0</v>
      </c>
      <c r="R49" s="782" t="n">
        <f aca="false">IF(R$7&lt;Startops1,(SUM(R33:R34)+R35/2)*$D$12/12,0)</f>
        <v>0</v>
      </c>
      <c r="S49" s="782" t="n">
        <f aca="false">IF(S$7&lt;Startops1,(SUM(S33:S34)+S35/2)*$D$12/12,0)</f>
        <v>0</v>
      </c>
      <c r="T49" s="782" t="n">
        <f aca="false">IF(T$7&lt;Startops1,(SUM(T33:T34)+T35/2)*$D$12/12,0)</f>
        <v>0</v>
      </c>
      <c r="U49" s="782" t="n">
        <f aca="false">IF(U$7&lt;Startops1,(SUM(U33:U34)+U35/2)*$D$12/12,0)</f>
        <v>0</v>
      </c>
      <c r="V49" s="782" t="n">
        <f aca="false">IF(V$7&lt;Startops1,(SUM(V33:V34)+V35/2)*$D$12/12,0)</f>
        <v>0</v>
      </c>
      <c r="W49" s="782" t="n">
        <f aca="false">IF(W$7&lt;Startops1,(SUM(W33:W34)+W35/2)*$D$12/12,0)</f>
        <v>0</v>
      </c>
      <c r="X49" s="782" t="n">
        <f aca="false">IF(X$7&lt;Startops1,(SUM(X33:X34)+X35/2)*$D$12/12,0)</f>
        <v>0</v>
      </c>
      <c r="Y49" s="782" t="n">
        <f aca="false">IF(Y$7&lt;Startops1,(SUM(Y33:Y34)+Y35/2)*$D$12/12,0)</f>
        <v>0</v>
      </c>
      <c r="Z49" s="782" t="n">
        <f aca="false">IF(Z$7&lt;Startops1,(SUM(Z33:Z34)+Z35/2)*$D$12/12,0)</f>
        <v>0</v>
      </c>
      <c r="AA49" s="782" t="n">
        <f aca="false">IF(AA$7&lt;Startops1,(SUM(AA33:AA34)+AA35/2)*$D$12/12,0)</f>
        <v>0</v>
      </c>
      <c r="AB49" s="782" t="n">
        <f aca="false">IF(AB$7&lt;Startops1,(SUM(AB33:AB34)+AB35/2)*$D$12/12,0)</f>
        <v>0</v>
      </c>
      <c r="AC49" s="782" t="n">
        <f aca="false">IF(AC$7&lt;Startops1,(SUM(AC33:AC34)+AC35/2)*$D$12/12,0)</f>
        <v>0</v>
      </c>
      <c r="AD49" s="782" t="n">
        <f aca="false">IF(AD$7&lt;Startops1,(SUM(AD33:AD34)+AD35/2)*$D$12/12,0)</f>
        <v>0</v>
      </c>
      <c r="AE49" s="782" t="n">
        <f aca="false">IF(AE$7&lt;Startops1,(SUM(AE33:AE34)+AE35/2)*$D$12/12,0)</f>
        <v>0</v>
      </c>
      <c r="AF49" s="782" t="n">
        <f aca="false">IF(AF$7&lt;Startops1,(SUM(AF33:AF34)+AF35/2)*$D$12/12,0)</f>
        <v>0</v>
      </c>
      <c r="AG49" s="782" t="n">
        <f aca="false">IF(AG$7&lt;Startops1,(SUM(AG33:AG34)+AG35/2)*$D$12/12,0)</f>
        <v>0</v>
      </c>
      <c r="AH49" s="782" t="n">
        <f aca="false">IF(AH$7&lt;Startops1,(SUM(AH33:AH34)+AH35/2)*$D$12/12,0)</f>
        <v>547.702775296724</v>
      </c>
      <c r="AI49" s="782" t="n">
        <f aca="false">IF(AI$7&lt;Startops1,(SUM(AI33:AI34)+AI35/2)*$D$12/12,0)</f>
        <v>590.726560233348</v>
      </c>
      <c r="AJ49" s="782" t="n">
        <f aca="false">IF(AJ$7&lt;Startops1,(SUM(AJ33:AJ34)+AJ35/2)*$D$12/12,0)</f>
        <v>626.112544503436</v>
      </c>
      <c r="AK49" s="782" t="n">
        <f aca="false">IF(AK$7&lt;Startops1,(SUM(AK33:AK34)+AK35/2)*$D$12/12,0)</f>
        <v>661.839461498355</v>
      </c>
      <c r="AL49" s="782" t="n">
        <f aca="false">IF(AL$7&lt;Startops1,(SUM(AL33:AL34)+AL35/2)*$D$12/12,0)</f>
        <v>683.176450752499</v>
      </c>
      <c r="AM49" s="782" t="n">
        <f aca="false">IF(AM$7&lt;Startops1,(SUM(AM33:AM34)+AM35/2)*$D$12/12,0)</f>
        <v>689.9848698803</v>
      </c>
      <c r="AN49" s="782" t="n">
        <f aca="false">IF(AN$7&lt;Startops1,(SUM(AN33:AN34)+AN35/2)*$D$12/12,0)</f>
        <v>0</v>
      </c>
      <c r="AO49" s="783" t="n">
        <f aca="false">SUM(E49:AN49)</f>
        <v>3799.54266216466</v>
      </c>
      <c r="AP49" s="310" t="n">
        <f aca="false">AP48+1</f>
        <v>43</v>
      </c>
    </row>
    <row r="50" customFormat="false" ht="12.75" hidden="false" customHeight="false" outlineLevel="0" collapsed="false">
      <c r="A50" s="305" t="s">
        <v>695</v>
      </c>
      <c r="B50" s="105"/>
      <c r="C50" s="105"/>
      <c r="D50" s="105"/>
      <c r="E50" s="784" t="n">
        <f aca="false">IF(E$7&lt;Startops1,(SUM(E41:E42)+E43/2)*$D$13/12,0)</f>
        <v>0</v>
      </c>
      <c r="F50" s="784" t="n">
        <f aca="false">IF(F$7&lt;Startops1,(SUM(F41:F42)+F43/2)*$D$13/12,0)</f>
        <v>0</v>
      </c>
      <c r="G50" s="784" t="n">
        <f aca="false">IF(G$7&lt;Startops1,(SUM(G41:G42)+G43/2)*$D$13/12,0)</f>
        <v>0</v>
      </c>
      <c r="H50" s="784" t="n">
        <f aca="false">IF(H$7&lt;Startops1,(SUM(H41:H42)+H43/2)*$D$13/12,0)</f>
        <v>0</v>
      </c>
      <c r="I50" s="784" t="n">
        <f aca="false">IF(I$7&lt;Startops1,(SUM(I41:I42)+I43/2)*$D$13/12,0)</f>
        <v>0</v>
      </c>
      <c r="J50" s="784" t="n">
        <f aca="false">IF(J$7&lt;Startops1,(SUM(J41:J42)+J43/2)*$D$13/12,0)</f>
        <v>0</v>
      </c>
      <c r="K50" s="784" t="n">
        <f aca="false">IF(K$7&lt;Startops1,(SUM(K41:K42)+K43/2)*$D$13/12,0)</f>
        <v>0</v>
      </c>
      <c r="L50" s="784" t="n">
        <f aca="false">IF(L$7&lt;Startops1,(SUM(L41:L42)+L43/2)*$D$13/12,0)</f>
        <v>0</v>
      </c>
      <c r="M50" s="784" t="n">
        <f aca="false">IF(M$7&lt;Startops1,(SUM(M41:M42)+M43/2)*$D$13/12,0)</f>
        <v>0</v>
      </c>
      <c r="N50" s="784" t="n">
        <f aca="false">IF(N$7&lt;Startops1,(SUM(N41:N42)+N43/2)*$D$13/12,0)</f>
        <v>0</v>
      </c>
      <c r="O50" s="784" t="n">
        <f aca="false">IF(O$7&lt;Startops1,(SUM(O41:O42)+O43/2)*$D$13/12,0)</f>
        <v>0</v>
      </c>
      <c r="P50" s="784" t="n">
        <f aca="false">IF(P$7&lt;Startops1,(SUM(P41:P42)+P43/2)*$D$13/12,0)</f>
        <v>0</v>
      </c>
      <c r="Q50" s="784" t="n">
        <f aca="false">IF(Q$7&lt;Startops1,(SUM(Q41:Q42)+Q43/2)*$D$13/12,0)</f>
        <v>0</v>
      </c>
      <c r="R50" s="784" t="n">
        <f aca="false">IF(R$7&lt;Startops1,(SUM(R41:R42)+R43/2)*$D$13/12,0)</f>
        <v>0</v>
      </c>
      <c r="S50" s="784" t="n">
        <f aca="false">IF(S$7&lt;Startops1,(SUM(S41:S42)+S43/2)*$D$13/12,0)</f>
        <v>0</v>
      </c>
      <c r="T50" s="784" t="n">
        <f aca="false">IF(T$7&lt;Startops1,(SUM(T41:T42)+T43/2)*$D$13/12,0)</f>
        <v>0</v>
      </c>
      <c r="U50" s="784" t="n">
        <f aca="false">IF(U$7&lt;Startops1,(SUM(U41:U42)+U43/2)*$D$13/12,0)</f>
        <v>0</v>
      </c>
      <c r="V50" s="784" t="n">
        <f aca="false">IF(V$7&lt;Startops1,(SUM(V41:V42)+V43/2)*$D$13/12,0)</f>
        <v>0</v>
      </c>
      <c r="W50" s="784" t="n">
        <f aca="false">IF(W$7&lt;Startops1,(SUM(W41:W42)+W43/2)*$D$13/12,0)</f>
        <v>0</v>
      </c>
      <c r="X50" s="784" t="n">
        <f aca="false">IF(X$7&lt;Startops1,(SUM(X41:X42)+X43/2)*$D$13/12,0)</f>
        <v>0</v>
      </c>
      <c r="Y50" s="784" t="n">
        <f aca="false">IF(Y$7&lt;Startops1,(SUM(Y41:Y42)+Y43/2)*$D$13/12,0)</f>
        <v>0</v>
      </c>
      <c r="Z50" s="784" t="n">
        <f aca="false">IF(Z$7&lt;Startops1,(SUM(Z41:Z42)+Z43/2)*$D$13/12,0)</f>
        <v>0</v>
      </c>
      <c r="AA50" s="784" t="n">
        <f aca="false">IF(AA$7&lt;Startops1,(SUM(AA41:AA42)+AA43/2)*$D$13/12,0)</f>
        <v>0</v>
      </c>
      <c r="AB50" s="784" t="n">
        <f aca="false">IF(AB$7&lt;Startops1,(SUM(AB41:AB42)+AB43/2)*$D$13/12,0)</f>
        <v>0</v>
      </c>
      <c r="AC50" s="784" t="n">
        <f aca="false">IF(AC$7&lt;Startops1,(SUM(AC41:AC42)+AC43/2)*$D$13/12,0)</f>
        <v>0</v>
      </c>
      <c r="AD50" s="784" t="n">
        <f aca="false">IF(AD$7&lt;Startops1,(SUM(AD41:AD42)+AD43/2)*$D$13/12,0)</f>
        <v>0</v>
      </c>
      <c r="AE50" s="784" t="n">
        <f aca="false">IF(AE$7&lt;Startops1,(SUM(AE41:AE42)+AE43/2)*$D$13/12,0)</f>
        <v>0</v>
      </c>
      <c r="AF50" s="784" t="n">
        <f aca="false">IF(AF$7&lt;Startops1,(SUM(AF41:AF42)+AF43/2)*$D$13/12,0)</f>
        <v>0</v>
      </c>
      <c r="AG50" s="784" t="n">
        <f aca="false">IF(AG$7&lt;Startops1,(SUM(AG41:AG42)+AG43/2)*$D$13/12,0)</f>
        <v>0</v>
      </c>
      <c r="AH50" s="784" t="n">
        <f aca="false">IF(AH$7&lt;Startops1,(SUM(AH41:AH42)+AH43/2)*$D$13/12,0)</f>
        <v>183.000492358436</v>
      </c>
      <c r="AI50" s="784" t="n">
        <f aca="false">IF(AI$7&lt;Startops1,(SUM(AI41:AI42)+AI43/2)*$D$13/12,0)</f>
        <v>197.375759714458</v>
      </c>
      <c r="AJ50" s="784" t="n">
        <f aca="false">IF(AJ$7&lt;Startops1,(SUM(AJ41:AJ42)+AJ43/2)*$D$13/12,0)</f>
        <v>209.199056648649</v>
      </c>
      <c r="AK50" s="784" t="n">
        <f aca="false">IF(AK$7&lt;Startops1,(SUM(AK41:AK42)+AK43/2)*$D$13/12,0)</f>
        <v>221.136267295386</v>
      </c>
      <c r="AL50" s="784" t="n">
        <f aca="false">IF(AL$7&lt;Startops1,(SUM(AL41:AL42)+AL43/2)*$D$13/12,0)</f>
        <v>228.265461659682</v>
      </c>
      <c r="AM50" s="784" t="n">
        <f aca="false">IF(AM$7&lt;Startops1,(SUM(AM41:AM42)+AM43/2)*$D$13/12,0)</f>
        <v>230.540316031006</v>
      </c>
      <c r="AN50" s="784" t="n">
        <f aca="false">IF(AN$7&lt;Startops1,(SUM(AN41:AN42)+AN43/2)*$D$13/12,0)</f>
        <v>0</v>
      </c>
      <c r="AO50" s="785"/>
      <c r="AP50" s="310" t="n">
        <f aca="false">AP49+1</f>
        <v>44</v>
      </c>
    </row>
    <row r="51" customFormat="false" ht="12.75" hidden="false" customHeight="false" outlineLevel="0" collapsed="false">
      <c r="A51" s="303" t="s">
        <v>696</v>
      </c>
      <c r="B51" s="38"/>
      <c r="C51" s="38"/>
      <c r="D51" s="38"/>
      <c r="E51" s="308" t="n">
        <f aca="false">SUM(E48:E50)</f>
        <v>0</v>
      </c>
      <c r="F51" s="308" t="n">
        <f aca="false">SUM(F48:F50)</f>
        <v>0</v>
      </c>
      <c r="G51" s="308" t="n">
        <f aca="false">SUM(G48:G50)</f>
        <v>0</v>
      </c>
      <c r="H51" s="308" t="n">
        <f aca="false">SUM(H48:H50)</f>
        <v>0</v>
      </c>
      <c r="I51" s="308" t="n">
        <f aca="false">SUM(I48:I50)</f>
        <v>0</v>
      </c>
      <c r="J51" s="308" t="n">
        <f aca="false">SUM(J48:J50)</f>
        <v>0</v>
      </c>
      <c r="K51" s="308" t="n">
        <f aca="false">SUM(K48:K50)</f>
        <v>0</v>
      </c>
      <c r="L51" s="308" t="n">
        <f aca="false">SUM(L48:L50)</f>
        <v>0</v>
      </c>
      <c r="M51" s="308" t="n">
        <f aca="false">SUM(M48:M50)</f>
        <v>0</v>
      </c>
      <c r="N51" s="308" t="n">
        <f aca="false">SUM(N48:N50)</f>
        <v>0</v>
      </c>
      <c r="O51" s="308" t="n">
        <f aca="false">SUM(O48:O50)</f>
        <v>0</v>
      </c>
      <c r="P51" s="308" t="n">
        <f aca="false">SUM(P48:P50)</f>
        <v>0</v>
      </c>
      <c r="Q51" s="308" t="n">
        <f aca="false">SUM(Q48:Q50)</f>
        <v>0</v>
      </c>
      <c r="R51" s="308" t="n">
        <f aca="false">SUM(R48:R50)</f>
        <v>0</v>
      </c>
      <c r="S51" s="308" t="n">
        <f aca="false">SUM(S48:S50)</f>
        <v>0</v>
      </c>
      <c r="T51" s="308" t="n">
        <f aca="false">SUM(T48:T50)</f>
        <v>21.4063614049587</v>
      </c>
      <c r="U51" s="308" t="n">
        <f aca="false">SUM(U48:U50)</f>
        <v>45.7527692857428</v>
      </c>
      <c r="V51" s="308" t="n">
        <f aca="false">SUM(V48:V50)</f>
        <v>53.7786216126143</v>
      </c>
      <c r="W51" s="308" t="n">
        <f aca="false">SUM(W48:W50)</f>
        <v>73.0830771162862</v>
      </c>
      <c r="X51" s="308" t="n">
        <f aca="false">SUM(X48:X50)</f>
        <v>102.87518039656</v>
      </c>
      <c r="Y51" s="308" t="n">
        <f aca="false">SUM(Y48:Y50)</f>
        <v>127.07031522038</v>
      </c>
      <c r="Z51" s="308" t="n">
        <f aca="false">SUM(Z48:Z50)</f>
        <v>150.396952233677</v>
      </c>
      <c r="AA51" s="308" t="n">
        <f aca="false">SUM(AA48:AA50)</f>
        <v>176.863618911696</v>
      </c>
      <c r="AB51" s="308" t="n">
        <f aca="false">SUM(AB48:AB50)</f>
        <v>189.854703250351</v>
      </c>
      <c r="AC51" s="308" t="n">
        <f aca="false">SUM(AC48:AC50)</f>
        <v>204.017951741926</v>
      </c>
      <c r="AD51" s="308" t="n">
        <f aca="false">SUM(AD48:AD50)</f>
        <v>230.676360418535</v>
      </c>
      <c r="AE51" s="308" t="n">
        <f aca="false">SUM(AE48:AE50)</f>
        <v>258.206160295079</v>
      </c>
      <c r="AF51" s="308" t="n">
        <f aca="false">SUM(AF48:AF50)</f>
        <v>304.849027333859</v>
      </c>
      <c r="AG51" s="308" t="n">
        <f aca="false">SUM(AG48:AG50)</f>
        <v>351.766264178749</v>
      </c>
      <c r="AH51" s="308" t="n">
        <f aca="false">SUM(AH48:AH50)</f>
        <v>730.703267655159</v>
      </c>
      <c r="AI51" s="308" t="n">
        <f aca="false">SUM(AI48:AI50)</f>
        <v>788.102319947806</v>
      </c>
      <c r="AJ51" s="308" t="n">
        <f aca="false">SUM(AJ48:AJ50)</f>
        <v>835.311601152085</v>
      </c>
      <c r="AK51" s="308" t="n">
        <f aca="false">SUM(AK48:AK50)</f>
        <v>882.975728793741</v>
      </c>
      <c r="AL51" s="308" t="n">
        <f aca="false">SUM(AL48:AL50)</f>
        <v>911.441912412181</v>
      </c>
      <c r="AM51" s="308" t="n">
        <f aca="false">SUM(AM48:AM50)</f>
        <v>920.525185911306</v>
      </c>
      <c r="AN51" s="308" t="n">
        <f aca="false">SUM(AN48:AN50)</f>
        <v>0</v>
      </c>
      <c r="AO51" s="309" t="n">
        <f aca="false">SUM(E51:AN51)</f>
        <v>7359.65737927269</v>
      </c>
      <c r="AP51" s="310" t="n">
        <f aca="false">AP50+1</f>
        <v>45</v>
      </c>
    </row>
    <row r="52" customFormat="false" ht="12.75" hidden="false" customHeight="false" outlineLevel="0" collapsed="false">
      <c r="A52" s="305" t="s">
        <v>697</v>
      </c>
      <c r="B52" s="105"/>
      <c r="C52" s="105"/>
      <c r="D52" s="105"/>
      <c r="E52" s="782" t="n">
        <f aca="false">SUM($E51:E51)</f>
        <v>0</v>
      </c>
      <c r="F52" s="782" t="n">
        <f aca="false">SUM($E51:F51)</f>
        <v>0</v>
      </c>
      <c r="G52" s="782" t="n">
        <f aca="false">SUM($E51:G51)</f>
        <v>0</v>
      </c>
      <c r="H52" s="782" t="n">
        <f aca="false">SUM($E51:H51)</f>
        <v>0</v>
      </c>
      <c r="I52" s="782" t="n">
        <f aca="false">SUM($E51:I51)</f>
        <v>0</v>
      </c>
      <c r="J52" s="782" t="n">
        <f aca="false">SUM($E51:J51)</f>
        <v>0</v>
      </c>
      <c r="K52" s="782" t="n">
        <f aca="false">SUM($E51:K51)</f>
        <v>0</v>
      </c>
      <c r="L52" s="782" t="n">
        <f aca="false">SUM($E51:L51)</f>
        <v>0</v>
      </c>
      <c r="M52" s="782" t="n">
        <f aca="false">SUM($E51:M51)</f>
        <v>0</v>
      </c>
      <c r="N52" s="782" t="n">
        <f aca="false">SUM($E51:N51)</f>
        <v>0</v>
      </c>
      <c r="O52" s="782" t="n">
        <f aca="false">SUM($E51:O51)</f>
        <v>0</v>
      </c>
      <c r="P52" s="782" t="n">
        <f aca="false">SUM($E51:P51)</f>
        <v>0</v>
      </c>
      <c r="Q52" s="782" t="n">
        <f aca="false">SUM($E51:Q51)</f>
        <v>0</v>
      </c>
      <c r="R52" s="782" t="n">
        <f aca="false">SUM($E51:R51)</f>
        <v>0</v>
      </c>
      <c r="S52" s="782" t="n">
        <f aca="false">SUM($E51:S51)</f>
        <v>0</v>
      </c>
      <c r="T52" s="782" t="n">
        <f aca="false">SUM($E51:T51)</f>
        <v>21.4063614049587</v>
      </c>
      <c r="U52" s="782" t="n">
        <f aca="false">SUM($E51:U51)</f>
        <v>67.1591306907014</v>
      </c>
      <c r="V52" s="782" t="n">
        <f aca="false">SUM($E51:V51)</f>
        <v>120.937752303316</v>
      </c>
      <c r="W52" s="782" t="n">
        <f aca="false">SUM($E51:W51)</f>
        <v>194.020829419602</v>
      </c>
      <c r="X52" s="782" t="n">
        <f aca="false">SUM($E51:X51)</f>
        <v>296.896009816162</v>
      </c>
      <c r="Y52" s="782" t="n">
        <f aca="false">SUM($E51:Y51)</f>
        <v>423.966325036542</v>
      </c>
      <c r="Z52" s="782" t="n">
        <f aca="false">SUM($E51:Z51)</f>
        <v>574.363277270219</v>
      </c>
      <c r="AA52" s="782" t="n">
        <f aca="false">SUM($E51:AA51)</f>
        <v>751.226896181915</v>
      </c>
      <c r="AB52" s="782" t="n">
        <f aca="false">SUM($E51:AB51)</f>
        <v>941.081599432267</v>
      </c>
      <c r="AC52" s="782" t="n">
        <f aca="false">SUM($E51:AC51)</f>
        <v>1145.09955117419</v>
      </c>
      <c r="AD52" s="782" t="n">
        <f aca="false">SUM($E51:AD51)</f>
        <v>1375.77591159273</v>
      </c>
      <c r="AE52" s="782" t="n">
        <f aca="false">SUM($E51:AE51)</f>
        <v>1633.98207188781</v>
      </c>
      <c r="AF52" s="782" t="n">
        <f aca="false">SUM($E51:AF51)</f>
        <v>1938.83109922166</v>
      </c>
      <c r="AG52" s="782" t="n">
        <f aca="false">SUM($E51:AG51)</f>
        <v>2290.59736340041</v>
      </c>
      <c r="AH52" s="782" t="n">
        <f aca="false">SUM($E51:AH51)</f>
        <v>3021.30063105557</v>
      </c>
      <c r="AI52" s="782" t="n">
        <f aca="false">SUM($E51:AI51)</f>
        <v>3809.40295100338</v>
      </c>
      <c r="AJ52" s="782" t="n">
        <f aca="false">SUM($E51:AJ51)</f>
        <v>4644.71455215546</v>
      </c>
      <c r="AK52" s="782" t="n">
        <f aca="false">SUM($E51:AK51)</f>
        <v>5527.69028094921</v>
      </c>
      <c r="AL52" s="782" t="n">
        <f aca="false">SUM($E51:AL51)</f>
        <v>6439.13219336139</v>
      </c>
      <c r="AM52" s="782" t="n">
        <f aca="false">SUM($E51:AM51)</f>
        <v>7359.65737927269</v>
      </c>
      <c r="AN52" s="782" t="n">
        <f aca="false">SUM($E51:AN51)</f>
        <v>7359.65737927269</v>
      </c>
      <c r="AO52" s="304"/>
      <c r="AP52" s="310" t="n">
        <f aca="false">AP51+1</f>
        <v>46</v>
      </c>
    </row>
    <row r="53" customFormat="false" ht="12.75" hidden="false" customHeight="false" outlineLevel="0" collapsed="false">
      <c r="A53" s="303" t="s">
        <v>69</v>
      </c>
      <c r="B53" s="458" t="n">
        <f aca="false">(Wh_Int/(1-Wh_Int))</f>
        <v>0.176470588235294</v>
      </c>
      <c r="C53" s="39"/>
      <c r="D53" s="39"/>
      <c r="E53" s="308" t="n">
        <f aca="false">SUM(E48,E50)*$B53</f>
        <v>0</v>
      </c>
      <c r="F53" s="308" t="n">
        <f aca="false">SUM(F48,F50)*$B53</f>
        <v>0</v>
      </c>
      <c r="G53" s="308" t="n">
        <f aca="false">SUM(G48,G50)*$B53</f>
        <v>0</v>
      </c>
      <c r="H53" s="308" t="n">
        <f aca="false">SUM(H48,H50)*$B53</f>
        <v>0</v>
      </c>
      <c r="I53" s="308" t="n">
        <f aca="false">SUM(I48,I50)*$B53</f>
        <v>0</v>
      </c>
      <c r="J53" s="308" t="n">
        <f aca="false">SUM(J48,J50)*$B53</f>
        <v>0</v>
      </c>
      <c r="K53" s="308" t="n">
        <f aca="false">SUM(K48,K50)*$B53</f>
        <v>0</v>
      </c>
      <c r="L53" s="308" t="n">
        <f aca="false">SUM(L48,L50)*$B53</f>
        <v>0</v>
      </c>
      <c r="M53" s="308" t="n">
        <f aca="false">SUM(M48,M50)*$B53</f>
        <v>0</v>
      </c>
      <c r="N53" s="308" t="n">
        <f aca="false">SUM(N48,N50)*$B53</f>
        <v>0</v>
      </c>
      <c r="O53" s="308" t="n">
        <f aca="false">SUM(O48,O50)*$B53</f>
        <v>0</v>
      </c>
      <c r="P53" s="308" t="n">
        <f aca="false">SUM(P48,P50)*$B53</f>
        <v>0</v>
      </c>
      <c r="Q53" s="308" t="n">
        <f aca="false">SUM(Q48,Q50)*$B53</f>
        <v>0</v>
      </c>
      <c r="R53" s="308" t="n">
        <f aca="false">SUM(R48,R50)*$B53</f>
        <v>0</v>
      </c>
      <c r="S53" s="308" t="n">
        <f aca="false">SUM(S48,S50)*$B53</f>
        <v>0</v>
      </c>
      <c r="T53" s="308" t="n">
        <f aca="false">SUM(T48,T50)*$B53</f>
        <v>3.77759318911035</v>
      </c>
      <c r="U53" s="308" t="n">
        <f aca="false">SUM(U48,U50)*$B53</f>
        <v>8.07401810924872</v>
      </c>
      <c r="V53" s="308" t="n">
        <f aca="false">SUM(V48,V50)*$B53</f>
        <v>9.49034499046135</v>
      </c>
      <c r="W53" s="308" t="n">
        <f aca="false">SUM(W48,W50)*$B53</f>
        <v>12.8970136087564</v>
      </c>
      <c r="X53" s="308" t="n">
        <f aca="false">SUM(X48,X50)*$B53</f>
        <v>18.1544435993929</v>
      </c>
      <c r="Y53" s="308" t="n">
        <f aca="false">SUM(Y48,Y50)*$B53</f>
        <v>22.4241732741848</v>
      </c>
      <c r="Z53" s="308" t="n">
        <f aca="false">SUM(Z48,Z50)*$B53</f>
        <v>26.5406386294724</v>
      </c>
      <c r="AA53" s="308" t="n">
        <f aca="false">SUM(AA48,AA50)*$B53</f>
        <v>31.2112268667699</v>
      </c>
      <c r="AB53" s="308" t="n">
        <f aca="false">SUM(AB48,AB50)*$B53</f>
        <v>33.5037711618267</v>
      </c>
      <c r="AC53" s="308" t="n">
        <f aca="false">SUM(AC48,AC50)*$B53</f>
        <v>36.0031679544575</v>
      </c>
      <c r="AD53" s="308" t="n">
        <f aca="false">SUM(AD48,AD50)*$B53</f>
        <v>40.7075930150355</v>
      </c>
      <c r="AE53" s="308" t="n">
        <f aca="false">SUM(AE48,AE50)*$B53</f>
        <v>45.5657929932493</v>
      </c>
      <c r="AF53" s="308" t="n">
        <f aca="false">SUM(AF48,AF50)*$B53</f>
        <v>53.7968871765633</v>
      </c>
      <c r="AG53" s="308" t="n">
        <f aca="false">SUM(AG48,AG50)*$B53</f>
        <v>62.0763995609557</v>
      </c>
      <c r="AH53" s="308" t="n">
        <f aca="false">SUM(AH48,AH50)*$B53</f>
        <v>32.2942045338416</v>
      </c>
      <c r="AI53" s="308" t="n">
        <f aca="false">SUM(AI48,AI50)*$B53</f>
        <v>34.8310164201984</v>
      </c>
      <c r="AJ53" s="308" t="n">
        <f aca="false">SUM(AJ48,AJ50)*$B53</f>
        <v>36.9174805850557</v>
      </c>
      <c r="AK53" s="308" t="n">
        <f aca="false">SUM(AK48,AK50)*$B53</f>
        <v>39.024047169774</v>
      </c>
      <c r="AL53" s="308" t="n">
        <f aca="false">SUM(AL48,AL50)*$B53</f>
        <v>40.2821402928851</v>
      </c>
      <c r="AM53" s="308" t="n">
        <f aca="false">SUM(AM48,AM50)*$B53</f>
        <v>40.6835851819423</v>
      </c>
      <c r="AN53" s="308" t="n">
        <f aca="false">SUM(AN48,AN50)*$B53</f>
        <v>0</v>
      </c>
      <c r="AO53" s="309" t="n">
        <f aca="false">SUM(E53:AN53)</f>
        <v>628.255538313182</v>
      </c>
      <c r="AP53" s="310" t="n">
        <f aca="false">AP52+1</f>
        <v>47</v>
      </c>
    </row>
    <row r="54" customFormat="false" ht="12.75" hidden="false" customHeight="false" outlineLevel="0" collapsed="false">
      <c r="A54" s="305" t="s">
        <v>698</v>
      </c>
      <c r="B54" s="105"/>
      <c r="C54" s="105"/>
      <c r="D54" s="105"/>
      <c r="E54" s="782" t="n">
        <f aca="false">SUM($E53:E53)</f>
        <v>0</v>
      </c>
      <c r="F54" s="782" t="n">
        <f aca="false">SUM($E53:F53)</f>
        <v>0</v>
      </c>
      <c r="G54" s="782" t="n">
        <f aca="false">SUM($E53:G53)</f>
        <v>0</v>
      </c>
      <c r="H54" s="782" t="n">
        <f aca="false">SUM($E53:H53)</f>
        <v>0</v>
      </c>
      <c r="I54" s="782" t="n">
        <f aca="false">SUM($E53:I53)</f>
        <v>0</v>
      </c>
      <c r="J54" s="782" t="n">
        <f aca="false">SUM($E53:J53)</f>
        <v>0</v>
      </c>
      <c r="K54" s="782" t="n">
        <f aca="false">SUM($E53:K53)</f>
        <v>0</v>
      </c>
      <c r="L54" s="782" t="n">
        <f aca="false">SUM($E53:L53)</f>
        <v>0</v>
      </c>
      <c r="M54" s="782" t="n">
        <f aca="false">SUM($E53:M53)</f>
        <v>0</v>
      </c>
      <c r="N54" s="782" t="n">
        <f aca="false">SUM($E53:N53)</f>
        <v>0</v>
      </c>
      <c r="O54" s="782" t="n">
        <f aca="false">SUM($E53:O53)</f>
        <v>0</v>
      </c>
      <c r="P54" s="782" t="n">
        <f aca="false">SUM($E53:P53)</f>
        <v>0</v>
      </c>
      <c r="Q54" s="782" t="n">
        <f aca="false">SUM($E53:Q53)</f>
        <v>0</v>
      </c>
      <c r="R54" s="782" t="n">
        <f aca="false">SUM($E53:R53)</f>
        <v>0</v>
      </c>
      <c r="S54" s="782" t="n">
        <f aca="false">SUM($E53:S53)</f>
        <v>0</v>
      </c>
      <c r="T54" s="782" t="n">
        <f aca="false">SUM($E53:T53)</f>
        <v>3.77759318911035</v>
      </c>
      <c r="U54" s="782" t="n">
        <f aca="false">SUM($E53:U53)</f>
        <v>11.8516112983591</v>
      </c>
      <c r="V54" s="782" t="n">
        <f aca="false">SUM($E53:V53)</f>
        <v>21.3419562888204</v>
      </c>
      <c r="W54" s="782" t="n">
        <f aca="false">SUM($E53:W53)</f>
        <v>34.2389698975768</v>
      </c>
      <c r="X54" s="782" t="n">
        <f aca="false">SUM($E53:X53)</f>
        <v>52.3934134969697</v>
      </c>
      <c r="Y54" s="782" t="n">
        <f aca="false">SUM($E53:Y53)</f>
        <v>74.8175867711545</v>
      </c>
      <c r="Z54" s="782" t="n">
        <f aca="false">SUM($E53:Z53)</f>
        <v>101.358225400627</v>
      </c>
      <c r="AA54" s="782" t="n">
        <f aca="false">SUM($E53:AA53)</f>
        <v>132.569452267397</v>
      </c>
      <c r="AB54" s="782" t="n">
        <f aca="false">SUM($E53:AB53)</f>
        <v>166.073223429224</v>
      </c>
      <c r="AC54" s="782" t="n">
        <f aca="false">SUM($E53:AC53)</f>
        <v>202.076391383681</v>
      </c>
      <c r="AD54" s="782" t="n">
        <f aca="false">SUM($E53:AD53)</f>
        <v>242.783984398717</v>
      </c>
      <c r="AE54" s="782" t="n">
        <f aca="false">SUM($E53:AE53)</f>
        <v>288.349777391966</v>
      </c>
      <c r="AF54" s="782" t="n">
        <f aca="false">SUM($E53:AF53)</f>
        <v>342.146664568529</v>
      </c>
      <c r="AG54" s="782" t="n">
        <f aca="false">SUM($E53:AG53)</f>
        <v>404.223064129485</v>
      </c>
      <c r="AH54" s="782" t="n">
        <f aca="false">SUM($E53:AH53)</f>
        <v>436.517268663326</v>
      </c>
      <c r="AI54" s="782" t="n">
        <f aca="false">SUM($E53:AI53)</f>
        <v>471.348285083525</v>
      </c>
      <c r="AJ54" s="782" t="n">
        <f aca="false">SUM($E53:AJ53)</f>
        <v>508.265765668581</v>
      </c>
      <c r="AK54" s="782" t="n">
        <f aca="false">SUM($E53:AK53)</f>
        <v>547.289812838355</v>
      </c>
      <c r="AL54" s="782" t="n">
        <f aca="false">SUM($E53:AL53)</f>
        <v>587.57195313124</v>
      </c>
      <c r="AM54" s="782" t="n">
        <f aca="false">SUM($E53:AM53)</f>
        <v>628.255538313182</v>
      </c>
      <c r="AN54" s="782" t="n">
        <f aca="false">SUM($E53:AN53)</f>
        <v>628.255538313182</v>
      </c>
      <c r="AO54" s="304"/>
      <c r="AP54" s="310" t="n">
        <f aca="false">AP53+1</f>
        <v>48</v>
      </c>
    </row>
    <row r="55" customFormat="false" ht="12.75" hidden="false" customHeight="false" outlineLevel="0" collapsed="false">
      <c r="A55" s="305"/>
      <c r="B55" s="105"/>
      <c r="C55" s="105"/>
      <c r="D55" s="105"/>
      <c r="E55" s="786"/>
      <c r="F55" s="786"/>
      <c r="G55" s="786"/>
      <c r="H55" s="786"/>
      <c r="I55" s="786"/>
      <c r="J55" s="786"/>
      <c r="K55" s="786"/>
      <c r="L55" s="786"/>
      <c r="M55" s="786"/>
      <c r="N55" s="786"/>
      <c r="O55" s="786"/>
      <c r="P55" s="786"/>
      <c r="Q55" s="786"/>
      <c r="R55" s="786"/>
      <c r="S55" s="786"/>
      <c r="T55" s="786"/>
      <c r="U55" s="786"/>
      <c r="V55" s="786"/>
      <c r="W55" s="786"/>
      <c r="X55" s="786"/>
      <c r="Y55" s="786"/>
      <c r="Z55" s="786"/>
      <c r="AA55" s="786"/>
      <c r="AB55" s="786"/>
      <c r="AC55" s="786"/>
      <c r="AD55" s="786"/>
      <c r="AE55" s="786"/>
      <c r="AF55" s="786"/>
      <c r="AG55" s="786"/>
      <c r="AH55" s="786"/>
      <c r="AI55" s="786"/>
      <c r="AJ55" s="786"/>
      <c r="AK55" s="786"/>
      <c r="AL55" s="786"/>
      <c r="AM55" s="786"/>
      <c r="AN55" s="786"/>
      <c r="AO55" s="298"/>
      <c r="AP55" s="310" t="n">
        <f aca="false">AP54+1</f>
        <v>49</v>
      </c>
    </row>
    <row r="56" customFormat="false" ht="12.75" hidden="false" customHeight="false" outlineLevel="0" collapsed="false">
      <c r="A56" s="305" t="s">
        <v>699</v>
      </c>
      <c r="B56" s="105"/>
      <c r="C56" s="105"/>
      <c r="D56" s="105"/>
      <c r="E56" s="782" t="n">
        <f aca="false">IF(E$7&lt;Startops1,0,E51)</f>
        <v>0</v>
      </c>
      <c r="F56" s="782" t="n">
        <f aca="false">IF(F$7&lt;Startops1,0,F51)</f>
        <v>0</v>
      </c>
      <c r="G56" s="782" t="n">
        <f aca="false">IF(G$7&lt;Startops1,0,G51)</f>
        <v>0</v>
      </c>
      <c r="H56" s="782" t="n">
        <f aca="false">IF(H$7&lt;Startops1,0,H51)</f>
        <v>0</v>
      </c>
      <c r="I56" s="782" t="n">
        <f aca="false">IF(I$7&lt;Startops1,0,I51)</f>
        <v>0</v>
      </c>
      <c r="J56" s="782" t="n">
        <f aca="false">IF(J$7&lt;Startops1,0,J51)</f>
        <v>0</v>
      </c>
      <c r="K56" s="782" t="n">
        <f aca="false">IF(K$7&lt;Startops1,0,K51)</f>
        <v>0</v>
      </c>
      <c r="L56" s="782" t="n">
        <f aca="false">IF(L$7&lt;Startops1,0,L51)</f>
        <v>0</v>
      </c>
      <c r="M56" s="782" t="n">
        <f aca="false">IF(M$7&lt;Startops1,0,M51)</f>
        <v>0</v>
      </c>
      <c r="N56" s="782" t="n">
        <f aca="false">IF(N$7&lt;Startops1,0,N51)</f>
        <v>0</v>
      </c>
      <c r="O56" s="782" t="n">
        <f aca="false">IF(O$7&lt;Startops1,0,O51)</f>
        <v>0</v>
      </c>
      <c r="P56" s="782" t="n">
        <f aca="false">IF(P$7&lt;Startops1,0,P51)</f>
        <v>0</v>
      </c>
      <c r="Q56" s="782" t="n">
        <f aca="false">IF(Q$7&lt;Startops1,0,Q51)</f>
        <v>0</v>
      </c>
      <c r="R56" s="782" t="n">
        <f aca="false">IF(R$7&lt;Startops1,0,R51)</f>
        <v>0</v>
      </c>
      <c r="S56" s="782" t="n">
        <f aca="false">IF(S$7&lt;Startops1,0,S51)</f>
        <v>0</v>
      </c>
      <c r="T56" s="782" t="n">
        <f aca="false">IF(T$7&lt;Startops1,0,T51)</f>
        <v>0</v>
      </c>
      <c r="U56" s="782" t="n">
        <f aca="false">IF(U$7&lt;Startops1,0,U51)</f>
        <v>0</v>
      </c>
      <c r="V56" s="782" t="n">
        <f aca="false">IF(V$7&lt;Startops1,0,V51)</f>
        <v>0</v>
      </c>
      <c r="W56" s="782" t="n">
        <f aca="false">IF(W$7&lt;Startops1,0,W51)</f>
        <v>0</v>
      </c>
      <c r="X56" s="782" t="n">
        <f aca="false">IF(X$7&lt;Startops1,0,X51)</f>
        <v>0</v>
      </c>
      <c r="Y56" s="782" t="n">
        <f aca="false">IF(Y$7&lt;Startops1,0,Y51)</f>
        <v>0</v>
      </c>
      <c r="Z56" s="782" t="n">
        <f aca="false">IF(Z$7&lt;Startops1,0,Z51)</f>
        <v>0</v>
      </c>
      <c r="AA56" s="782" t="n">
        <f aca="false">IF(AA$7&lt;Startops1,0,AA51)</f>
        <v>0</v>
      </c>
      <c r="AB56" s="782" t="n">
        <f aca="false">IF(AB$7&lt;Startops1,0,AB51)</f>
        <v>0</v>
      </c>
      <c r="AC56" s="782" t="n">
        <f aca="false">IF(AC$7&lt;Startops1,0,AC51)</f>
        <v>0</v>
      </c>
      <c r="AD56" s="782" t="n">
        <f aca="false">IF(AD$7&lt;Startops1,0,AD51)</f>
        <v>0</v>
      </c>
      <c r="AE56" s="782" t="n">
        <f aca="false">IF(AE$7&lt;Startops1,0,AE51)</f>
        <v>0</v>
      </c>
      <c r="AF56" s="782" t="n">
        <f aca="false">IF(AF$7&lt;Startops1,0,AF51)</f>
        <v>0</v>
      </c>
      <c r="AG56" s="782" t="n">
        <f aca="false">IF(AG$7&lt;Startops1,0,AG51)</f>
        <v>0</v>
      </c>
      <c r="AH56" s="782" t="n">
        <f aca="false">IF(AH$7&lt;Startops1,0,AH51)</f>
        <v>0</v>
      </c>
      <c r="AI56" s="782" t="n">
        <f aca="false">IF(AI$7&lt;Startops1,0,AI51)</f>
        <v>0</v>
      </c>
      <c r="AJ56" s="782" t="n">
        <f aca="false">IF(AJ$7&lt;Startops1,0,AJ51)</f>
        <v>0</v>
      </c>
      <c r="AK56" s="782" t="n">
        <f aca="false">IF(AK$7&lt;Startops1,0,AK51)</f>
        <v>0</v>
      </c>
      <c r="AL56" s="782" t="n">
        <f aca="false">IF(AL$7&lt;Startops1,0,AL51)</f>
        <v>0</v>
      </c>
      <c r="AM56" s="782" t="n">
        <f aca="false">IF(AM$7&lt;Startops1,0,AM51)</f>
        <v>0</v>
      </c>
      <c r="AN56" s="782" t="n">
        <f aca="false">IF(AN$7&lt;Startops1,0,AN51)</f>
        <v>0</v>
      </c>
      <c r="AO56" s="783" t="n">
        <f aca="false">SUM(E56:AN56)</f>
        <v>0</v>
      </c>
      <c r="AP56" s="310" t="n">
        <f aca="false">AP55+1</f>
        <v>50</v>
      </c>
    </row>
    <row r="57" customFormat="false" ht="12.75" hidden="false" customHeight="false" outlineLevel="0" collapsed="false">
      <c r="A57" s="305" t="s">
        <v>700</v>
      </c>
      <c r="B57" s="105"/>
      <c r="C57" s="105"/>
      <c r="D57" s="105"/>
      <c r="E57" s="782" t="n">
        <f aca="false">SUM($E56:E56)</f>
        <v>0</v>
      </c>
      <c r="F57" s="782" t="n">
        <f aca="false">SUM($E56:F56)</f>
        <v>0</v>
      </c>
      <c r="G57" s="782" t="n">
        <f aca="false">SUM($E56:G56)</f>
        <v>0</v>
      </c>
      <c r="H57" s="782" t="n">
        <f aca="false">SUM($E56:H56)</f>
        <v>0</v>
      </c>
      <c r="I57" s="782" t="n">
        <f aca="false">SUM($E56:I56)</f>
        <v>0</v>
      </c>
      <c r="J57" s="782" t="n">
        <f aca="false">SUM($E56:J56)</f>
        <v>0</v>
      </c>
      <c r="K57" s="782" t="n">
        <f aca="false">SUM($E56:K56)</f>
        <v>0</v>
      </c>
      <c r="L57" s="782" t="n">
        <f aca="false">SUM($E56:L56)</f>
        <v>0</v>
      </c>
      <c r="M57" s="782" t="n">
        <f aca="false">SUM($E56:M56)</f>
        <v>0</v>
      </c>
      <c r="N57" s="782" t="n">
        <f aca="false">SUM($E56:N56)</f>
        <v>0</v>
      </c>
      <c r="O57" s="782" t="n">
        <f aca="false">SUM($E56:O56)</f>
        <v>0</v>
      </c>
      <c r="P57" s="782" t="n">
        <f aca="false">SUM($E56:P56)</f>
        <v>0</v>
      </c>
      <c r="Q57" s="782" t="n">
        <f aca="false">SUM($E56:Q56)</f>
        <v>0</v>
      </c>
      <c r="R57" s="782" t="n">
        <f aca="false">SUM($E56:R56)</f>
        <v>0</v>
      </c>
      <c r="S57" s="782" t="n">
        <f aca="false">SUM($E56:S56)</f>
        <v>0</v>
      </c>
      <c r="T57" s="782" t="n">
        <f aca="false">SUM($E56:T56)</f>
        <v>0</v>
      </c>
      <c r="U57" s="782" t="n">
        <f aca="false">SUM($E56:U56)</f>
        <v>0</v>
      </c>
      <c r="V57" s="782" t="n">
        <f aca="false">SUM($E56:V56)</f>
        <v>0</v>
      </c>
      <c r="W57" s="782" t="n">
        <f aca="false">SUM($E56:W56)</f>
        <v>0</v>
      </c>
      <c r="X57" s="782" t="n">
        <f aca="false">SUM($E56:X56)</f>
        <v>0</v>
      </c>
      <c r="Y57" s="782" t="n">
        <f aca="false">SUM($E56:Y56)</f>
        <v>0</v>
      </c>
      <c r="Z57" s="782" t="n">
        <f aca="false">SUM($E56:Z56)</f>
        <v>0</v>
      </c>
      <c r="AA57" s="782" t="n">
        <f aca="false">SUM($E56:AA56)</f>
        <v>0</v>
      </c>
      <c r="AB57" s="782" t="n">
        <f aca="false">SUM($E56:AB56)</f>
        <v>0</v>
      </c>
      <c r="AC57" s="782" t="n">
        <f aca="false">SUM($E56:AC56)</f>
        <v>0</v>
      </c>
      <c r="AD57" s="782" t="n">
        <f aca="false">SUM($E56:AD56)</f>
        <v>0</v>
      </c>
      <c r="AE57" s="782" t="n">
        <f aca="false">SUM($E56:AE56)</f>
        <v>0</v>
      </c>
      <c r="AF57" s="782" t="n">
        <f aca="false">SUM($E56:AF56)</f>
        <v>0</v>
      </c>
      <c r="AG57" s="782" t="n">
        <f aca="false">SUM($E56:AG56)</f>
        <v>0</v>
      </c>
      <c r="AH57" s="782" t="n">
        <f aca="false">SUM($E56:AH56)</f>
        <v>0</v>
      </c>
      <c r="AI57" s="782" t="n">
        <f aca="false">SUM($E56:AI56)</f>
        <v>0</v>
      </c>
      <c r="AJ57" s="782" t="n">
        <f aca="false">SUM($E56:AJ56)</f>
        <v>0</v>
      </c>
      <c r="AK57" s="782" t="n">
        <f aca="false">SUM($E56:AK56)</f>
        <v>0</v>
      </c>
      <c r="AL57" s="782" t="n">
        <f aca="false">SUM($E56:AL56)</f>
        <v>0</v>
      </c>
      <c r="AM57" s="782" t="n">
        <f aca="false">SUM($E56:AM56)</f>
        <v>0</v>
      </c>
      <c r="AN57" s="782" t="n">
        <f aca="false">SUM($E56:AN56)</f>
        <v>0</v>
      </c>
      <c r="AO57" s="304"/>
      <c r="AP57" s="310" t="n">
        <f aca="false">AP56+1</f>
        <v>51</v>
      </c>
    </row>
    <row r="58" customFormat="false" ht="12.75" hidden="false" customHeight="false" outlineLevel="0" collapsed="false">
      <c r="A58" s="305"/>
      <c r="B58" s="105"/>
      <c r="C58" s="105"/>
      <c r="D58" s="105"/>
      <c r="E58" s="786"/>
      <c r="F58" s="786"/>
      <c r="G58" s="786"/>
      <c r="H58" s="786"/>
      <c r="I58" s="786"/>
      <c r="J58" s="786"/>
      <c r="K58" s="786"/>
      <c r="L58" s="786"/>
      <c r="M58" s="786"/>
      <c r="N58" s="786"/>
      <c r="O58" s="786"/>
      <c r="P58" s="786"/>
      <c r="Q58" s="786"/>
      <c r="R58" s="786"/>
      <c r="S58" s="786"/>
      <c r="T58" s="786"/>
      <c r="U58" s="786"/>
      <c r="V58" s="786"/>
      <c r="W58" s="786"/>
      <c r="X58" s="786"/>
      <c r="Y58" s="786"/>
      <c r="Z58" s="786"/>
      <c r="AA58" s="786"/>
      <c r="AB58" s="786"/>
      <c r="AC58" s="786"/>
      <c r="AD58" s="786"/>
      <c r="AE58" s="786"/>
      <c r="AF58" s="786"/>
      <c r="AG58" s="786"/>
      <c r="AH58" s="786"/>
      <c r="AI58" s="786"/>
      <c r="AJ58" s="786"/>
      <c r="AK58" s="786"/>
      <c r="AL58" s="786"/>
      <c r="AM58" s="786"/>
      <c r="AN58" s="786"/>
      <c r="AO58" s="298"/>
      <c r="AP58" s="310" t="n">
        <f aca="false">AP57+1</f>
        <v>52</v>
      </c>
    </row>
    <row r="59" customFormat="false" ht="12.75" hidden="false" customHeight="false" outlineLevel="0" collapsed="false">
      <c r="A59" s="114" t="s">
        <v>701</v>
      </c>
      <c r="B59" s="39"/>
      <c r="C59" s="39"/>
      <c r="D59" s="39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298"/>
      <c r="AP59" s="310" t="n">
        <f aca="false">AP58+1</f>
        <v>53</v>
      </c>
    </row>
    <row r="60" customFormat="false" ht="12.75" hidden="false" customHeight="false" outlineLevel="0" collapsed="false">
      <c r="A60" s="568" t="s">
        <v>702</v>
      </c>
      <c r="B60" s="568"/>
      <c r="C60" s="739"/>
      <c r="D60" s="739"/>
      <c r="E60" s="762" t="n">
        <f aca="false">Drawdown!E76</f>
        <v>0</v>
      </c>
      <c r="F60" s="762" t="n">
        <f aca="false">Drawdown!F76</f>
        <v>260.869565217391</v>
      </c>
      <c r="G60" s="762" t="n">
        <f aca="false">Drawdown!G76</f>
        <v>369.057908383751</v>
      </c>
      <c r="H60" s="762" t="n">
        <f aca="false">Drawdown!H76</f>
        <v>0</v>
      </c>
      <c r="I60" s="762" t="n">
        <f aca="false">Drawdown!I76</f>
        <v>0</v>
      </c>
      <c r="J60" s="762" t="n">
        <f aca="false">Drawdown!J76</f>
        <v>0</v>
      </c>
      <c r="K60" s="762" t="n">
        <f aca="false">Drawdown!K76</f>
        <v>0</v>
      </c>
      <c r="L60" s="762" t="n">
        <f aca="false">Drawdown!L76</f>
        <v>2676.3977770293</v>
      </c>
      <c r="M60" s="762" t="n">
        <f aca="false">Drawdown!M76</f>
        <v>3331.64483501907</v>
      </c>
      <c r="N60" s="762" t="n">
        <f aca="false">Drawdown!N76</f>
        <v>2443.64720812183</v>
      </c>
      <c r="O60" s="762" t="n">
        <f aca="false">Drawdown!O76</f>
        <v>4312.36681518791</v>
      </c>
      <c r="P60" s="762" t="n">
        <f aca="false">Drawdown!P76</f>
        <v>0</v>
      </c>
      <c r="Q60" s="762" t="n">
        <f aca="false">Drawdown!Q76</f>
        <v>4214.6059347181</v>
      </c>
      <c r="R60" s="762" t="n">
        <f aca="false">Drawdown!R76</f>
        <v>0</v>
      </c>
      <c r="S60" s="762" t="n">
        <f aca="false">Drawdown!S76</f>
        <v>7733.68256316868</v>
      </c>
      <c r="T60" s="762" t="n">
        <f aca="false">Drawdown!T76</f>
        <v>3788.24022038568</v>
      </c>
      <c r="U60" s="762" t="n">
        <f aca="false">Drawdown!U76</f>
        <v>0</v>
      </c>
      <c r="V60" s="762" t="n">
        <f aca="false">Drawdown!V76</f>
        <v>0</v>
      </c>
      <c r="W60" s="762" t="n">
        <f aca="false">Drawdown!W76</f>
        <v>0</v>
      </c>
      <c r="X60" s="762" t="n">
        <f aca="false">Drawdown!X76</f>
        <v>0</v>
      </c>
      <c r="Y60" s="758" t="n">
        <v>0</v>
      </c>
      <c r="Z60" s="758" t="n">
        <v>0</v>
      </c>
      <c r="AA60" s="758" t="n">
        <v>0</v>
      </c>
      <c r="AB60" s="758" t="n">
        <v>0</v>
      </c>
      <c r="AC60" s="758" t="n">
        <v>0</v>
      </c>
      <c r="AD60" s="758" t="n">
        <v>0</v>
      </c>
      <c r="AE60" s="758" t="n">
        <v>0</v>
      </c>
      <c r="AF60" s="758" t="n">
        <v>0</v>
      </c>
      <c r="AG60" s="758" t="n">
        <v>0</v>
      </c>
      <c r="AH60" s="758" t="n">
        <v>0</v>
      </c>
      <c r="AI60" s="758" t="n">
        <v>0</v>
      </c>
      <c r="AJ60" s="758" t="n">
        <v>0</v>
      </c>
      <c r="AK60" s="758" t="n">
        <v>0</v>
      </c>
      <c r="AL60" s="758" t="n">
        <v>0</v>
      </c>
      <c r="AM60" s="758" t="n">
        <v>0</v>
      </c>
      <c r="AN60" s="758" t="n">
        <v>0</v>
      </c>
      <c r="AO60" s="304" t="n">
        <f aca="false">SUM(E60:AN60)</f>
        <v>29130.5128272317</v>
      </c>
      <c r="AP60" s="310" t="n">
        <f aca="false">AP59+1</f>
        <v>54</v>
      </c>
      <c r="AQ60" s="629" t="n">
        <f aca="false">AO38+AO60</f>
        <v>105065.315613447</v>
      </c>
    </row>
    <row r="61" customFormat="false" ht="12.75" hidden="false" customHeight="false" outlineLevel="0" collapsed="false">
      <c r="A61" s="568" t="s">
        <v>703</v>
      </c>
      <c r="B61" s="568"/>
      <c r="C61" s="739"/>
      <c r="D61" s="739"/>
      <c r="E61" s="762" t="n">
        <f aca="false">SUM($E60:E60)</f>
        <v>0</v>
      </c>
      <c r="F61" s="762" t="n">
        <f aca="false">SUM($E60:F60)</f>
        <v>260.869565217391</v>
      </c>
      <c r="G61" s="762" t="n">
        <f aca="false">SUM($E60:G60)</f>
        <v>629.927473601142</v>
      </c>
      <c r="H61" s="762" t="n">
        <f aca="false">SUM($E60:H60)</f>
        <v>629.927473601142</v>
      </c>
      <c r="I61" s="762" t="n">
        <f aca="false">SUM($E60:I60)</f>
        <v>629.927473601142</v>
      </c>
      <c r="J61" s="762" t="n">
        <f aca="false">SUM($E60:J60)</f>
        <v>629.927473601142</v>
      </c>
      <c r="K61" s="762" t="n">
        <f aca="false">SUM($E60:K60)</f>
        <v>629.927473601142</v>
      </c>
      <c r="L61" s="762" t="n">
        <f aca="false">SUM($E60:L60)</f>
        <v>3306.32525063045</v>
      </c>
      <c r="M61" s="762" t="n">
        <f aca="false">SUM($E60:M60)</f>
        <v>6637.97008564951</v>
      </c>
      <c r="N61" s="762" t="n">
        <f aca="false">SUM($E60:N60)</f>
        <v>9081.61729377134</v>
      </c>
      <c r="O61" s="762" t="n">
        <f aca="false">SUM($E60:O60)</f>
        <v>13393.9841089593</v>
      </c>
      <c r="P61" s="762" t="n">
        <f aca="false">SUM($E60:P60)</f>
        <v>13393.9841089593</v>
      </c>
      <c r="Q61" s="762" t="n">
        <f aca="false">SUM($E60:Q60)</f>
        <v>17608.5900436774</v>
      </c>
      <c r="R61" s="762" t="n">
        <f aca="false">SUM($E60:R60)</f>
        <v>17608.5900436774</v>
      </c>
      <c r="S61" s="762" t="n">
        <f aca="false">SUM($E60:S60)</f>
        <v>25342.272606846</v>
      </c>
      <c r="T61" s="762" t="n">
        <f aca="false">SUM($E60:T60)</f>
        <v>29130.5128272317</v>
      </c>
      <c r="U61" s="762" t="n">
        <f aca="false">SUM($E60:U60)</f>
        <v>29130.5128272317</v>
      </c>
      <c r="V61" s="762" t="n">
        <f aca="false">SUM($E60:V60)</f>
        <v>29130.5128272317</v>
      </c>
      <c r="W61" s="762" t="n">
        <f aca="false">SUM($E60:W60)</f>
        <v>29130.5128272317</v>
      </c>
      <c r="X61" s="762" t="n">
        <f aca="false">SUM($E60:X60)</f>
        <v>29130.5128272317</v>
      </c>
      <c r="Y61" s="762" t="n">
        <f aca="false">SUM($E60:Y60)</f>
        <v>29130.5128272317</v>
      </c>
      <c r="Z61" s="762" t="n">
        <f aca="false">SUM($E60:Z60)</f>
        <v>29130.5128272317</v>
      </c>
      <c r="AA61" s="762" t="n">
        <f aca="false">SUM($E60:AA60)</f>
        <v>29130.5128272317</v>
      </c>
      <c r="AB61" s="762" t="n">
        <f aca="false">SUM($E60:AB60)</f>
        <v>29130.5128272317</v>
      </c>
      <c r="AC61" s="762" t="n">
        <f aca="false">SUM($E60:AC60)</f>
        <v>29130.5128272317</v>
      </c>
      <c r="AD61" s="762" t="n">
        <f aca="false">SUM($E60:AD60)</f>
        <v>29130.5128272317</v>
      </c>
      <c r="AE61" s="762" t="n">
        <f aca="false">SUM($E60:AE60)</f>
        <v>29130.5128272317</v>
      </c>
      <c r="AF61" s="762" t="n">
        <f aca="false">SUM($E60:AF60)</f>
        <v>29130.5128272317</v>
      </c>
      <c r="AG61" s="762" t="n">
        <f aca="false">SUM($E60:AG60)</f>
        <v>29130.5128272317</v>
      </c>
      <c r="AH61" s="762" t="n">
        <f aca="false">SUM($E60:AH60)</f>
        <v>29130.5128272317</v>
      </c>
      <c r="AI61" s="762" t="n">
        <f aca="false">SUM($E60:AI60)</f>
        <v>29130.5128272317</v>
      </c>
      <c r="AJ61" s="762" t="n">
        <f aca="false">SUM($E60:AJ60)</f>
        <v>29130.5128272317</v>
      </c>
      <c r="AK61" s="762" t="n">
        <f aca="false">SUM($E60:AK60)</f>
        <v>29130.5128272317</v>
      </c>
      <c r="AL61" s="762" t="n">
        <f aca="false">SUM($E60:AL60)</f>
        <v>29130.5128272317</v>
      </c>
      <c r="AM61" s="762" t="n">
        <f aca="false">SUM($E60:AM60)</f>
        <v>29130.5128272317</v>
      </c>
      <c r="AN61" s="762" t="n">
        <f aca="false">SUM($E60:AN60)</f>
        <v>29130.5128272317</v>
      </c>
      <c r="AO61" s="298"/>
      <c r="AP61" s="310" t="n">
        <f aca="false">AP60+1</f>
        <v>55</v>
      </c>
    </row>
    <row r="62" customFormat="false" ht="12.75" hidden="false" customHeight="false" outlineLevel="0" collapsed="false">
      <c r="A62" s="114"/>
      <c r="B62" s="39"/>
      <c r="C62" s="39"/>
      <c r="D62" s="39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298"/>
      <c r="AP62" s="310" t="n">
        <f aca="false">AP61+1</f>
        <v>56</v>
      </c>
    </row>
    <row r="63" customFormat="false" ht="12.75" hidden="false" customHeight="false" outlineLevel="0" collapsed="false">
      <c r="A63" s="37" t="s">
        <v>472</v>
      </c>
      <c r="B63" s="39"/>
      <c r="C63" s="39"/>
      <c r="D63" s="39"/>
      <c r="E63" s="98" t="n">
        <v>0</v>
      </c>
      <c r="F63" s="61" t="n">
        <f aca="false">E67</f>
        <v>0</v>
      </c>
      <c r="G63" s="61" t="n">
        <f aca="false">F67</f>
        <v>260.869565217391</v>
      </c>
      <c r="H63" s="61" t="n">
        <f aca="false">G67</f>
        <v>629.927473601142</v>
      </c>
      <c r="I63" s="61" t="n">
        <f aca="false">H67</f>
        <v>629.927473601142</v>
      </c>
      <c r="J63" s="61" t="n">
        <f aca="false">I67</f>
        <v>629.927473601142</v>
      </c>
      <c r="K63" s="61" t="n">
        <f aca="false">J67</f>
        <v>629.927473601142</v>
      </c>
      <c r="L63" s="61" t="n">
        <f aca="false">K67</f>
        <v>629.927473601142</v>
      </c>
      <c r="M63" s="61" t="n">
        <f aca="false">L67</f>
        <v>3306.32525063045</v>
      </c>
      <c r="N63" s="61" t="n">
        <f aca="false">M67</f>
        <v>6637.97008564951</v>
      </c>
      <c r="O63" s="61" t="n">
        <f aca="false">N67</f>
        <v>9081.61729377134</v>
      </c>
      <c r="P63" s="61" t="n">
        <f aca="false">O67</f>
        <v>13393.9841089593</v>
      </c>
      <c r="Q63" s="61" t="n">
        <f aca="false">P67</f>
        <v>13393.9841089593</v>
      </c>
      <c r="R63" s="61" t="n">
        <f aca="false">Q67</f>
        <v>17608.5900436774</v>
      </c>
      <c r="S63" s="61" t="n">
        <f aca="false">R67</f>
        <v>17608.5900436774</v>
      </c>
      <c r="T63" s="61" t="n">
        <f aca="false">S67</f>
        <v>25342.272606846</v>
      </c>
      <c r="U63" s="61" t="n">
        <f aca="false">T67</f>
        <v>29130.5128272317</v>
      </c>
      <c r="V63" s="61" t="n">
        <f aca="false">U67</f>
        <v>29130.5128272317</v>
      </c>
      <c r="W63" s="61" t="n">
        <f aca="false">V67</f>
        <v>29130.5128272317</v>
      </c>
      <c r="X63" s="61" t="n">
        <f aca="false">W67</f>
        <v>29130.5128272317</v>
      </c>
      <c r="Y63" s="61" t="n">
        <f aca="false">X67</f>
        <v>29130.5128272317</v>
      </c>
      <c r="Z63" s="61" t="n">
        <f aca="false">Y67</f>
        <v>29130.5128272317</v>
      </c>
      <c r="AA63" s="61" t="n">
        <f aca="false">Z67</f>
        <v>29130.5128272317</v>
      </c>
      <c r="AB63" s="61" t="n">
        <f aca="false">AA67</f>
        <v>29130.5128272317</v>
      </c>
      <c r="AC63" s="61" t="n">
        <f aca="false">AB67</f>
        <v>29130.5128272317</v>
      </c>
      <c r="AD63" s="61" t="n">
        <f aca="false">AC67</f>
        <v>29130.5128272317</v>
      </c>
      <c r="AE63" s="61" t="n">
        <f aca="false">AD67</f>
        <v>29130.5128272317</v>
      </c>
      <c r="AF63" s="61" t="n">
        <f aca="false">AE67</f>
        <v>29130.5128272317</v>
      </c>
      <c r="AG63" s="61" t="n">
        <f aca="false">AF67</f>
        <v>29130.5128272317</v>
      </c>
      <c r="AH63" s="61" t="n">
        <f aca="false">AG67</f>
        <v>29130.5128272317</v>
      </c>
      <c r="AI63" s="61" t="n">
        <f aca="false">AH67</f>
        <v>29130.5128272317</v>
      </c>
      <c r="AJ63" s="61" t="n">
        <f aca="false">AI67</f>
        <v>29130.5128272317</v>
      </c>
      <c r="AK63" s="61" t="n">
        <f aca="false">AJ67</f>
        <v>29130.5128272317</v>
      </c>
      <c r="AL63" s="61" t="n">
        <f aca="false">AK67</f>
        <v>29130.5128272317</v>
      </c>
      <c r="AM63" s="61" t="n">
        <f aca="false">AL67</f>
        <v>29130.5128272317</v>
      </c>
      <c r="AN63" s="61" t="n">
        <f aca="false">AM67</f>
        <v>29130.5128272317</v>
      </c>
      <c r="AO63" s="304" t="n">
        <f aca="false">E63</f>
        <v>0</v>
      </c>
      <c r="AP63" s="310" t="n">
        <f aca="false">AP62+1</f>
        <v>57</v>
      </c>
    </row>
    <row r="64" customFormat="false" ht="12.75" hidden="false" customHeight="false" outlineLevel="0" collapsed="false">
      <c r="A64" s="37" t="s">
        <v>684</v>
      </c>
      <c r="B64" s="39"/>
      <c r="C64" s="39"/>
      <c r="D64" s="39"/>
      <c r="E64" s="61" t="n">
        <f aca="false">IF(SUM(E63,E17)&gt;Est_Cost*Equity_Perc,Est_Cost*Equity_Perc-E63,E17)*0+E60</f>
        <v>0</v>
      </c>
      <c r="F64" s="61" t="n">
        <f aca="false">IF(SUM(F63,F17)&gt;Est_Cost*Equity_Perc,Est_Cost*Equity_Perc-F63,F17)*0+F60</f>
        <v>260.869565217391</v>
      </c>
      <c r="G64" s="61" t="n">
        <f aca="false">IF(SUM(G63,G17)&gt;Est_Cost*Equity_Perc,Est_Cost*Equity_Perc-G63,G17)*0+G60</f>
        <v>369.057908383751</v>
      </c>
      <c r="H64" s="61" t="n">
        <f aca="false">IF(SUM(H63,H17)&gt;Est_Cost*Equity_Perc,Est_Cost*Equity_Perc-H63,H17)*0+H60</f>
        <v>0</v>
      </c>
      <c r="I64" s="61" t="n">
        <f aca="false">IF(SUM(I63,I17)&gt;Est_Cost*Equity_Perc,Est_Cost*Equity_Perc-I63,I17)*0+I60</f>
        <v>0</v>
      </c>
      <c r="J64" s="61" t="n">
        <f aca="false">IF(SUM(J63,J17)&gt;Est_Cost*Equity_Perc,Est_Cost*Equity_Perc-J63,J17)*0+J60</f>
        <v>0</v>
      </c>
      <c r="K64" s="61" t="n">
        <f aca="false">IF(SUM(K63,K17)&gt;Est_Cost*Equity_Perc,Est_Cost*Equity_Perc-K63,K17)*0+K60</f>
        <v>0</v>
      </c>
      <c r="L64" s="61" t="n">
        <f aca="false">IF(SUM(L63,L17)&gt;Est_Cost*Equity_Perc,Est_Cost*Equity_Perc-L63,L17)*0+L60</f>
        <v>2676.3977770293</v>
      </c>
      <c r="M64" s="61" t="n">
        <f aca="false">IF(SUM(M63,M17)&gt;Est_Cost*Equity_Perc,Est_Cost*Equity_Perc-M63,M17)*0+M60</f>
        <v>3331.64483501907</v>
      </c>
      <c r="N64" s="61" t="n">
        <f aca="false">IF(SUM(N63,N17)&gt;Est_Cost*Equity_Perc,Est_Cost*Equity_Perc-N63,N17)*0+N60</f>
        <v>2443.64720812183</v>
      </c>
      <c r="O64" s="61" t="n">
        <f aca="false">IF(SUM(O63,O17)&gt;Est_Cost*Equity_Perc,Est_Cost*Equity_Perc-O63,O17)*0+O60</f>
        <v>4312.36681518791</v>
      </c>
      <c r="P64" s="61" t="n">
        <f aca="false">IF(SUM(P63,P17)&gt;Est_Cost*Equity_Perc,Est_Cost*Equity_Perc-P63,P17)*0+P60</f>
        <v>0</v>
      </c>
      <c r="Q64" s="61" t="n">
        <f aca="false">IF(SUM(Q63,Q17)&gt;Est_Cost*Equity_Perc,Est_Cost*Equity_Perc-Q63,Q17)*0+Q60</f>
        <v>4214.6059347181</v>
      </c>
      <c r="R64" s="61" t="n">
        <f aca="false">IF(SUM(R63,R17)&gt;Est_Cost*Equity_Perc,Est_Cost*Equity_Perc-R63,R17)*0+R60</f>
        <v>0</v>
      </c>
      <c r="S64" s="61" t="n">
        <f aca="false">IF(SUM(S63,S17)&gt;Est_Cost*Equity_Perc,Est_Cost*Equity_Perc-S63,S17)*0+S60</f>
        <v>7733.68256316868</v>
      </c>
      <c r="T64" s="61" t="n">
        <f aca="false">IF(SUM(T63,T17)&gt;Est_Cost*Equity_Perc,Est_Cost*Equity_Perc-T63,T17)*0+T60</f>
        <v>3788.24022038568</v>
      </c>
      <c r="U64" s="61" t="n">
        <f aca="false">IF(SUM(U63,U17)&gt;Est_Cost*Equity_Perc,Est_Cost*Equity_Perc-U63,U17)*0+U60</f>
        <v>0</v>
      </c>
      <c r="V64" s="61" t="n">
        <f aca="false">IF(SUM(V63,V17)&gt;Est_Cost*Equity_Perc,Est_Cost*Equity_Perc-V63,V17)*0+V60</f>
        <v>0</v>
      </c>
      <c r="W64" s="61" t="n">
        <f aca="false">IF(SUM(W63,W17)&gt;Est_Cost*Equity_Perc,Est_Cost*Equity_Perc-W63,W17)*0+W60</f>
        <v>0</v>
      </c>
      <c r="X64" s="61" t="n">
        <f aca="false">IF(SUM(X63,X17)&gt;Est_Cost*Equity_Perc,Est_Cost*Equity_Perc-X63,X17)*0+X60</f>
        <v>0</v>
      </c>
      <c r="Y64" s="61" t="n">
        <f aca="false">IF(SUM(Y63,Y17)&gt;Est_Cost*Equity_Perc,Est_Cost*Equity_Perc-Y63,Y17)*0+Y60</f>
        <v>0</v>
      </c>
      <c r="Z64" s="61" t="n">
        <f aca="false">IF(SUM(Z63,Z17)&gt;Est_Cost*Equity_Perc,Est_Cost*Equity_Perc-Z63,Z17)*0+Z60</f>
        <v>0</v>
      </c>
      <c r="AA64" s="61" t="n">
        <f aca="false">IF(SUM(AA63,AA17)&gt;Est_Cost*Equity_Perc,Est_Cost*Equity_Perc-AA63,AA17)*0+AA60</f>
        <v>0</v>
      </c>
      <c r="AB64" s="61" t="n">
        <f aca="false">IF(SUM(AB63,AB17)&gt;Est_Cost*Equity_Perc,Est_Cost*Equity_Perc-AB63,AB17)*0+AB60</f>
        <v>0</v>
      </c>
      <c r="AC64" s="61" t="n">
        <f aca="false">IF(SUM(AC63,AC17)&gt;Est_Cost*Equity_Perc,Est_Cost*Equity_Perc-AC63,AC17)*0+AC60</f>
        <v>0</v>
      </c>
      <c r="AD64" s="61" t="n">
        <f aca="false">IF(SUM(AD63,AD17)&gt;Est_Cost*Equity_Perc,Est_Cost*Equity_Perc-AD63,AD17)*0+AD60</f>
        <v>0</v>
      </c>
      <c r="AE64" s="61" t="n">
        <f aca="false">IF(SUM(AE63,AE17)&gt;Est_Cost*Equity_Perc,Est_Cost*Equity_Perc-AE63,AE17)*0+AE60</f>
        <v>0</v>
      </c>
      <c r="AF64" s="61" t="n">
        <f aca="false">IF(SUM(AF63,AF17)&gt;Est_Cost*Equity_Perc,Est_Cost*Equity_Perc-AF63,AF17)*0+AF60</f>
        <v>0</v>
      </c>
      <c r="AG64" s="61" t="n">
        <f aca="false">IF(SUM(AG63,AG17)&gt;Est_Cost*Equity_Perc,Est_Cost*Equity_Perc-AG63,AG17)*0+AG60</f>
        <v>0</v>
      </c>
      <c r="AH64" s="61" t="n">
        <f aca="false">IF(SUM(AH63,AH17)&gt;Est_Cost*Equity_Perc,Est_Cost*Equity_Perc-AH63,AH17)*0+AH60</f>
        <v>0</v>
      </c>
      <c r="AI64" s="61" t="n">
        <f aca="false">IF(SUM(AI63,AI17)&gt;Est_Cost*Equity_Perc,Est_Cost*Equity_Perc-AI63,AI17)*0+AI60</f>
        <v>0</v>
      </c>
      <c r="AJ64" s="61" t="n">
        <f aca="false">IF(SUM(AJ63,AJ17)&gt;Est_Cost*Equity_Perc,Est_Cost*Equity_Perc-AJ63,AJ17)*0+AJ60</f>
        <v>0</v>
      </c>
      <c r="AK64" s="61" t="n">
        <f aca="false">IF(SUM(AK63,AK17)&gt;Est_Cost*Equity_Perc,Est_Cost*Equity_Perc-AK63,AK17)*0+AK60</f>
        <v>0</v>
      </c>
      <c r="AL64" s="61" t="n">
        <f aca="false">IF(SUM(AL63,AL17)&gt;Est_Cost*Equity_Perc,Est_Cost*Equity_Perc-AL63,AL17)*0+AL60</f>
        <v>0</v>
      </c>
      <c r="AM64" s="61" t="n">
        <f aca="false">IF(SUM(AM63,AM17)&gt;Est_Cost*Equity_Perc,Est_Cost*Equity_Perc-AM63,AM17)*0+AM60</f>
        <v>0</v>
      </c>
      <c r="AN64" s="61" t="n">
        <f aca="false">IF(SUM(AN63,AN17)&gt;Est_Cost*Equity_Perc,Est_Cost*Equity_Perc-AN63,AN17)*0+AN60</f>
        <v>0</v>
      </c>
      <c r="AO64" s="304" t="n">
        <f aca="false">SUM(E64:AN64)</f>
        <v>29130.5128272317</v>
      </c>
      <c r="AP64" s="310" t="n">
        <f aca="false">AP63+1</f>
        <v>58</v>
      </c>
    </row>
    <row r="65" customFormat="false" ht="12.75" hidden="false" customHeight="false" outlineLevel="0" collapsed="false">
      <c r="A65" s="37" t="s">
        <v>689</v>
      </c>
      <c r="B65" s="39"/>
      <c r="C65" s="39"/>
      <c r="D65" s="39"/>
      <c r="E65" s="98" t="n">
        <v>0</v>
      </c>
      <c r="F65" s="98" t="n">
        <v>0</v>
      </c>
      <c r="G65" s="98" t="n">
        <v>0</v>
      </c>
      <c r="H65" s="98" t="n">
        <v>0</v>
      </c>
      <c r="I65" s="98" t="n">
        <v>0</v>
      </c>
      <c r="J65" s="98" t="n">
        <v>0</v>
      </c>
      <c r="K65" s="98" t="n">
        <v>0</v>
      </c>
      <c r="L65" s="98" t="n">
        <v>0</v>
      </c>
      <c r="M65" s="98" t="n">
        <v>0</v>
      </c>
      <c r="N65" s="98" t="n">
        <v>0</v>
      </c>
      <c r="O65" s="98" t="n">
        <v>0</v>
      </c>
      <c r="P65" s="98" t="n">
        <v>0</v>
      </c>
      <c r="Q65" s="98" t="n">
        <v>0</v>
      </c>
      <c r="R65" s="98" t="n">
        <v>0</v>
      </c>
      <c r="S65" s="98" t="n">
        <v>0</v>
      </c>
      <c r="T65" s="98" t="n">
        <v>0</v>
      </c>
      <c r="U65" s="98" t="n">
        <v>0</v>
      </c>
      <c r="V65" s="98" t="n">
        <v>0</v>
      </c>
      <c r="W65" s="98" t="n">
        <v>0</v>
      </c>
      <c r="X65" s="98" t="n">
        <v>0</v>
      </c>
      <c r="Y65" s="98" t="n">
        <v>0</v>
      </c>
      <c r="Z65" s="98" t="n">
        <v>0</v>
      </c>
      <c r="AA65" s="98" t="n">
        <v>0</v>
      </c>
      <c r="AB65" s="98" t="n">
        <v>0</v>
      </c>
      <c r="AC65" s="98" t="n">
        <v>0</v>
      </c>
      <c r="AD65" s="98" t="n">
        <v>0</v>
      </c>
      <c r="AE65" s="98" t="n">
        <v>0</v>
      </c>
      <c r="AF65" s="98" t="n">
        <v>0</v>
      </c>
      <c r="AG65" s="98" t="n">
        <v>0</v>
      </c>
      <c r="AH65" s="98" t="n">
        <v>0</v>
      </c>
      <c r="AI65" s="98" t="n">
        <v>0</v>
      </c>
      <c r="AJ65" s="98" t="n">
        <v>0</v>
      </c>
      <c r="AK65" s="98" t="n">
        <v>0</v>
      </c>
      <c r="AL65" s="98" t="n">
        <v>0</v>
      </c>
      <c r="AM65" s="98" t="n">
        <v>0</v>
      </c>
      <c r="AN65" s="98" t="n">
        <v>0</v>
      </c>
      <c r="AO65" s="304" t="n">
        <f aca="false">SUM(E65:AN65)</f>
        <v>0</v>
      </c>
      <c r="AP65" s="310" t="n">
        <f aca="false">AP64+1</f>
        <v>59</v>
      </c>
    </row>
    <row r="66" customFormat="false" ht="12.75" hidden="false" customHeight="false" outlineLevel="0" collapsed="false">
      <c r="A66" s="37" t="s">
        <v>690</v>
      </c>
      <c r="B66" s="39"/>
      <c r="C66" s="39"/>
      <c r="D66" s="39"/>
      <c r="E66" s="617" t="n">
        <v>0</v>
      </c>
      <c r="F66" s="617" t="n">
        <v>0</v>
      </c>
      <c r="G66" s="617" t="n">
        <v>0</v>
      </c>
      <c r="H66" s="617" t="n">
        <v>0</v>
      </c>
      <c r="I66" s="617" t="n">
        <v>0</v>
      </c>
      <c r="J66" s="617" t="n">
        <v>0</v>
      </c>
      <c r="K66" s="617" t="n">
        <v>0</v>
      </c>
      <c r="L66" s="617" t="n">
        <v>0</v>
      </c>
      <c r="M66" s="617" t="n">
        <v>0</v>
      </c>
      <c r="N66" s="617" t="n">
        <v>0</v>
      </c>
      <c r="O66" s="617" t="n">
        <v>0</v>
      </c>
      <c r="P66" s="617" t="n">
        <v>0</v>
      </c>
      <c r="Q66" s="617" t="n">
        <v>0</v>
      </c>
      <c r="R66" s="617" t="n">
        <v>0</v>
      </c>
      <c r="S66" s="617" t="n">
        <v>0</v>
      </c>
      <c r="T66" s="617" t="n">
        <v>0</v>
      </c>
      <c r="U66" s="617" t="n">
        <v>0</v>
      </c>
      <c r="V66" s="617" t="n">
        <v>0</v>
      </c>
      <c r="W66" s="617" t="n">
        <v>0</v>
      </c>
      <c r="X66" s="617" t="n">
        <v>0</v>
      </c>
      <c r="Y66" s="617" t="n">
        <v>0</v>
      </c>
      <c r="Z66" s="617" t="n">
        <v>0</v>
      </c>
      <c r="AA66" s="617" t="n">
        <v>0</v>
      </c>
      <c r="AB66" s="617" t="n">
        <v>0</v>
      </c>
      <c r="AC66" s="617" t="n">
        <v>0</v>
      </c>
      <c r="AD66" s="617" t="n">
        <v>0</v>
      </c>
      <c r="AE66" s="617" t="n">
        <v>0</v>
      </c>
      <c r="AF66" s="617" t="n">
        <v>0</v>
      </c>
      <c r="AG66" s="617" t="n">
        <v>0</v>
      </c>
      <c r="AH66" s="617" t="n">
        <v>0</v>
      </c>
      <c r="AI66" s="617" t="n">
        <v>0</v>
      </c>
      <c r="AJ66" s="617" t="n">
        <v>0</v>
      </c>
      <c r="AK66" s="617" t="n">
        <v>0</v>
      </c>
      <c r="AL66" s="617" t="n">
        <v>0</v>
      </c>
      <c r="AM66" s="617" t="n">
        <v>0</v>
      </c>
      <c r="AN66" s="617" t="n">
        <v>0</v>
      </c>
      <c r="AO66" s="307" t="n">
        <f aca="false">SUM(E66:AN66)</f>
        <v>0</v>
      </c>
      <c r="AP66" s="310" t="n">
        <f aca="false">AP65+1</f>
        <v>60</v>
      </c>
    </row>
    <row r="67" customFormat="false" ht="12.75" hidden="false" customHeight="false" outlineLevel="0" collapsed="false">
      <c r="A67" s="37" t="s">
        <v>476</v>
      </c>
      <c r="B67" s="39"/>
      <c r="C67" s="39"/>
      <c r="D67" s="39"/>
      <c r="E67" s="61" t="n">
        <f aca="false">SUM(E63:E66)</f>
        <v>0</v>
      </c>
      <c r="F67" s="61" t="n">
        <f aca="false">SUM(F63:F66)</f>
        <v>260.869565217391</v>
      </c>
      <c r="G67" s="61" t="n">
        <f aca="false">SUM(G63:G66)</f>
        <v>629.927473601142</v>
      </c>
      <c r="H67" s="61" t="n">
        <f aca="false">SUM(H63:H66)</f>
        <v>629.927473601142</v>
      </c>
      <c r="I67" s="61" t="n">
        <f aca="false">SUM(I63:I66)</f>
        <v>629.927473601142</v>
      </c>
      <c r="J67" s="61" t="n">
        <f aca="false">SUM(J63:J66)</f>
        <v>629.927473601142</v>
      </c>
      <c r="K67" s="61" t="n">
        <f aca="false">SUM(K63:K66)</f>
        <v>629.927473601142</v>
      </c>
      <c r="L67" s="61" t="n">
        <f aca="false">SUM(L63:L66)</f>
        <v>3306.32525063045</v>
      </c>
      <c r="M67" s="61" t="n">
        <f aca="false">SUM(M63:M66)</f>
        <v>6637.97008564951</v>
      </c>
      <c r="N67" s="61" t="n">
        <f aca="false">SUM(N63:N66)</f>
        <v>9081.61729377134</v>
      </c>
      <c r="O67" s="61" t="n">
        <f aca="false">SUM(O63:O66)</f>
        <v>13393.9841089593</v>
      </c>
      <c r="P67" s="61" t="n">
        <f aca="false">SUM(P63:P66)</f>
        <v>13393.9841089593</v>
      </c>
      <c r="Q67" s="61" t="n">
        <f aca="false">SUM(Q63:Q66)</f>
        <v>17608.5900436774</v>
      </c>
      <c r="R67" s="61" t="n">
        <f aca="false">SUM(R63:R66)</f>
        <v>17608.5900436774</v>
      </c>
      <c r="S67" s="61" t="n">
        <f aca="false">SUM(S63:S66)</f>
        <v>25342.272606846</v>
      </c>
      <c r="T67" s="61" t="n">
        <f aca="false">SUM(T63:T66)</f>
        <v>29130.5128272317</v>
      </c>
      <c r="U67" s="61" t="n">
        <f aca="false">SUM(U63:U66)</f>
        <v>29130.5128272317</v>
      </c>
      <c r="V67" s="61" t="n">
        <f aca="false">SUM(V63:V66)</f>
        <v>29130.5128272317</v>
      </c>
      <c r="W67" s="61" t="n">
        <f aca="false">SUM(W63:W66)</f>
        <v>29130.5128272317</v>
      </c>
      <c r="X67" s="61" t="n">
        <f aca="false">SUM(X63:X66)</f>
        <v>29130.5128272317</v>
      </c>
      <c r="Y67" s="61" t="n">
        <f aca="false">SUM(Y63:Y66)</f>
        <v>29130.5128272317</v>
      </c>
      <c r="Z67" s="61" t="n">
        <f aca="false">SUM(Z63:Z66)</f>
        <v>29130.5128272317</v>
      </c>
      <c r="AA67" s="61" t="n">
        <f aca="false">SUM(AA63:AA66)</f>
        <v>29130.5128272317</v>
      </c>
      <c r="AB67" s="61" t="n">
        <f aca="false">SUM(AB63:AB66)</f>
        <v>29130.5128272317</v>
      </c>
      <c r="AC67" s="61" t="n">
        <f aca="false">SUM(AC63:AC66)</f>
        <v>29130.5128272317</v>
      </c>
      <c r="AD67" s="61" t="n">
        <f aca="false">SUM(AD63:AD66)</f>
        <v>29130.5128272317</v>
      </c>
      <c r="AE67" s="61" t="n">
        <f aca="false">SUM(AE63:AE66)</f>
        <v>29130.5128272317</v>
      </c>
      <c r="AF67" s="61" t="n">
        <f aca="false">SUM(AF63:AF66)</f>
        <v>29130.5128272317</v>
      </c>
      <c r="AG67" s="61" t="n">
        <f aca="false">SUM(AG63:AG66)</f>
        <v>29130.5128272317</v>
      </c>
      <c r="AH67" s="61" t="n">
        <f aca="false">SUM(AH63:AH66)</f>
        <v>29130.5128272317</v>
      </c>
      <c r="AI67" s="61" t="n">
        <f aca="false">SUM(AI63:AI66)</f>
        <v>29130.5128272317</v>
      </c>
      <c r="AJ67" s="61" t="n">
        <f aca="false">SUM(AJ63:AJ66)</f>
        <v>29130.5128272317</v>
      </c>
      <c r="AK67" s="61" t="n">
        <f aca="false">SUM(AK63:AK66)</f>
        <v>29130.5128272317</v>
      </c>
      <c r="AL67" s="61" t="n">
        <f aca="false">SUM(AL63:AL66)</f>
        <v>29130.5128272317</v>
      </c>
      <c r="AM67" s="61" t="n">
        <f aca="false">SUM(AM63:AM66)</f>
        <v>29130.5128272317</v>
      </c>
      <c r="AN67" s="61" t="n">
        <f aca="false">SUM(AN63:AN66)</f>
        <v>29130.5128272317</v>
      </c>
      <c r="AO67" s="304" t="n">
        <f aca="false">SUM(AO63:AO66)</f>
        <v>29130.5128272317</v>
      </c>
      <c r="AP67" s="310" t="n">
        <f aca="false">AP66+1</f>
        <v>61</v>
      </c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</row>
    <row r="68" customFormat="false" ht="12.75" hidden="false" customHeight="false" outlineLevel="0" collapsed="false">
      <c r="A68" s="37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298"/>
      <c r="AP68" s="310" t="n">
        <f aca="false">AP67+1</f>
        <v>62</v>
      </c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</row>
    <row r="69" customFormat="false" ht="12.75" hidden="false" customHeight="false" outlineLevel="0" collapsed="false">
      <c r="A69" s="787" t="s">
        <v>704</v>
      </c>
      <c r="B69" s="507"/>
      <c r="C69" s="507"/>
      <c r="D69" s="375" t="n">
        <f aca="false">AO51</f>
        <v>7359.65737927269</v>
      </c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298"/>
      <c r="AP69" s="310" t="n">
        <f aca="false">AP68+1</f>
        <v>63</v>
      </c>
    </row>
    <row r="70" customFormat="false" ht="12.75" hidden="false" customHeight="false" outlineLevel="0" collapsed="false">
      <c r="A70" s="788" t="s">
        <v>705</v>
      </c>
      <c r="B70" s="573"/>
      <c r="C70" s="573"/>
      <c r="D70" s="789" t="n">
        <f aca="false">AO53</f>
        <v>628.255538313182</v>
      </c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298"/>
      <c r="AP70" s="310" t="n">
        <f aca="false">AP69+1</f>
        <v>64</v>
      </c>
    </row>
    <row r="71" customFormat="false" ht="12.75" hidden="false" customHeight="false" outlineLevel="0" collapsed="false">
      <c r="A71" s="37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298"/>
      <c r="AP71" s="310" t="n">
        <f aca="false">AP70+1</f>
        <v>65</v>
      </c>
    </row>
    <row r="72" customFormat="false" ht="12.75" hidden="false" customHeight="false" outlineLevel="0" collapsed="false">
      <c r="A72" s="305" t="s">
        <v>706</v>
      </c>
      <c r="B72" s="105"/>
      <c r="C72" s="105"/>
      <c r="D72" s="105"/>
      <c r="E72" s="782" t="n">
        <f aca="false">IF(E$7&lt;Fin_Close,SUM($E27:E27),D72)</f>
        <v>0</v>
      </c>
      <c r="F72" s="782" t="n">
        <f aca="false">IF(F$7&lt;Fin_Close,SUM($E27:F27),E72)</f>
        <v>0</v>
      </c>
      <c r="G72" s="782" t="n">
        <f aca="false">IF(G$7&lt;Fin_Close,SUM($E27:G27),F72)</f>
        <v>0</v>
      </c>
      <c r="H72" s="782" t="n">
        <f aca="false">IF(H$7&lt;Fin_Close,SUM($E27:H27),G72)</f>
        <v>0</v>
      </c>
      <c r="I72" s="782" t="n">
        <f aca="false">IF(I$7&lt;Fin_Close,SUM($E27:I27),H72)</f>
        <v>0</v>
      </c>
      <c r="J72" s="782" t="n">
        <f aca="false">IF(J$7&lt;Fin_Close,SUM($E27:J27),I72)</f>
        <v>0</v>
      </c>
      <c r="K72" s="782" t="n">
        <f aca="false">IF(K$7&lt;Fin_Close,SUM($E27:K27),J72)</f>
        <v>0</v>
      </c>
      <c r="L72" s="782" t="n">
        <f aca="false">IF(L$7&lt;Fin_Close,SUM($E27:L27),K72)</f>
        <v>0</v>
      </c>
      <c r="M72" s="782" t="n">
        <f aca="false">IF(M$7&lt;Fin_Close,SUM($E27:M27),L72)</f>
        <v>0</v>
      </c>
      <c r="N72" s="782" t="n">
        <f aca="false">IF(N$7&lt;Fin_Close,SUM($E27:N27),M72)</f>
        <v>0</v>
      </c>
      <c r="O72" s="782" t="n">
        <f aca="false">IF(O$7&lt;Fin_Close,SUM($E27:O27),N72)</f>
        <v>0</v>
      </c>
      <c r="P72" s="782" t="n">
        <f aca="false">IF(P$7&lt;Fin_Close,SUM($E27:P27),O72)</f>
        <v>0</v>
      </c>
      <c r="Q72" s="782" t="n">
        <f aca="false">IF(Q$7&lt;Fin_Close,SUM($E27:Q27),P72)</f>
        <v>0</v>
      </c>
      <c r="R72" s="782" t="n">
        <f aca="false">IF(R$7&lt;Fin_Close,SUM($E27:R27),Q72)</f>
        <v>0</v>
      </c>
      <c r="S72" s="782" t="n">
        <f aca="false">IF(S$7&lt;Fin_Close,SUM($E27:S27),R72)</f>
        <v>0</v>
      </c>
      <c r="T72" s="782" t="n">
        <f aca="false">IF(T$7&lt;Fin_Close,SUM($E27:T27),S72)</f>
        <v>8562.54456198347</v>
      </c>
      <c r="U72" s="782" t="n">
        <f aca="false">IF(U$7&lt;Fin_Close,SUM($E27:U27),T72)</f>
        <v>9688.19524312549</v>
      </c>
      <c r="V72" s="782" t="n">
        <f aca="false">IF(V$7&lt;Fin_Close,SUM($E27:V27),U72)</f>
        <v>11665.2319179421</v>
      </c>
      <c r="W72" s="782" t="n">
        <f aca="false">IF(W$7&lt;Fin_Close,SUM($E27:W27),V72)</f>
        <v>17283.4395113881</v>
      </c>
      <c r="X72" s="782" t="n">
        <f aca="false">IF(X$7&lt;Fin_Close,SUM($E27:X27),W72)</f>
        <v>23410.1130486014</v>
      </c>
      <c r="Y72" s="782" t="n">
        <f aca="false">IF(Y$7&lt;Fin_Close,SUM($E27:Y27),X72)</f>
        <v>26719.4341929245</v>
      </c>
      <c r="Z72" s="782" t="n">
        <f aca="false">IF(Z$7&lt;Fin_Close,SUM($E27:Z27),Y72)</f>
        <v>32441.7788769309</v>
      </c>
      <c r="AA72" s="782" t="n">
        <f aca="false">IF(AA$7&lt;Fin_Close,SUM($E27:AA27),Z72)</f>
        <v>36952.2256824059</v>
      </c>
      <c r="AB72" s="782" t="n">
        <f aca="false">IF(AB$7&lt;Fin_Close,SUM($E27:AB27),AA72)</f>
        <v>37222.062920836</v>
      </c>
      <c r="AC72" s="782" t="n">
        <f aca="false">IF(AC$7&lt;Fin_Close,SUM($E27:AC27),AB72)</f>
        <v>42170.8081302114</v>
      </c>
      <c r="AD72" s="782" t="n">
        <f aca="false">IF(AD$7&lt;Fin_Close,SUM($E27:AD27),AC72)</f>
        <v>47405.3841520867</v>
      </c>
      <c r="AE72" s="782" t="n">
        <f aca="false">IF(AE$7&lt;Fin_Close,SUM($E27:AE27),AD72)</f>
        <v>52639.960173962</v>
      </c>
      <c r="AF72" s="782" t="n">
        <f aca="false">IF(AF$7&lt;Fin_Close,SUM($E27:AF27),AE72)</f>
        <v>65454.9870610219</v>
      </c>
      <c r="AG72" s="782" t="n">
        <f aca="false">IF(AG$7&lt;Fin_Close,SUM($E27:AG27),AF72)</f>
        <v>70689.5630828973</v>
      </c>
      <c r="AH72" s="782" t="n">
        <f aca="false">IF(AH$7&lt;Fin_Close,SUM($E27:AH27),AG72)</f>
        <v>70689.5630828973</v>
      </c>
      <c r="AI72" s="782" t="n">
        <f aca="false">IF(AI$7&lt;Fin_Close,SUM($E27:AI27),AH72)</f>
        <v>70689.5630828973</v>
      </c>
      <c r="AJ72" s="782" t="n">
        <f aca="false">IF(AJ$7&lt;Fin_Close,SUM($E27:AJ27),AI72)</f>
        <v>70689.5630828973</v>
      </c>
      <c r="AK72" s="782" t="n">
        <f aca="false">IF(AK$7&lt;Fin_Close,SUM($E27:AK27),AJ72)</f>
        <v>70689.5630828973</v>
      </c>
      <c r="AL72" s="782" t="n">
        <f aca="false">IF(AL$7&lt;Fin_Close,SUM($E27:AL27),AK72)</f>
        <v>70689.5630828973</v>
      </c>
      <c r="AM72" s="782" t="n">
        <f aca="false">IF(AM$7&lt;Fin_Close,SUM($E27:AM27),AL72)</f>
        <v>70689.5630828973</v>
      </c>
      <c r="AN72" s="782" t="n">
        <f aca="false">IF(AN$7&lt;Fin_Close,SUM($E27:AN27),AM72)</f>
        <v>70689.5630828973</v>
      </c>
      <c r="AO72" s="298"/>
      <c r="AP72" s="310" t="n">
        <f aca="false">AP71+1</f>
        <v>66</v>
      </c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</row>
    <row r="73" customFormat="false" ht="12.75" hidden="false" customHeight="false" outlineLevel="0" collapsed="false">
      <c r="A73" s="305" t="s">
        <v>707</v>
      </c>
      <c r="B73" s="105"/>
      <c r="C73" s="105"/>
      <c r="D73" s="105"/>
      <c r="E73" s="782" t="n">
        <f aca="false">IF(E$7&lt;Fin_Close,SUM($E28:E28),D73)</f>
        <v>0</v>
      </c>
      <c r="F73" s="782" t="n">
        <f aca="false">IF(F$7&lt;Fin_Close,SUM($E28:F28),E73)</f>
        <v>0</v>
      </c>
      <c r="G73" s="782" t="n">
        <f aca="false">IF(G$7&lt;Fin_Close,SUM($E28:G28),F73)</f>
        <v>0</v>
      </c>
      <c r="H73" s="782" t="n">
        <f aca="false">IF(H$7&lt;Fin_Close,SUM($E28:H28),G73)</f>
        <v>0</v>
      </c>
      <c r="I73" s="782" t="n">
        <f aca="false">IF(I$7&lt;Fin_Close,SUM($E28:I28),H73)</f>
        <v>0</v>
      </c>
      <c r="J73" s="782" t="n">
        <f aca="false">IF(J$7&lt;Fin_Close,SUM($E28:J28),I73)</f>
        <v>0</v>
      </c>
      <c r="K73" s="782" t="n">
        <f aca="false">IF(K$7&lt;Fin_Close,SUM($E28:K28),J73)</f>
        <v>0</v>
      </c>
      <c r="L73" s="782" t="n">
        <f aca="false">IF(L$7&lt;Fin_Close,SUM($E28:L28),K73)</f>
        <v>0</v>
      </c>
      <c r="M73" s="782" t="n">
        <f aca="false">IF(M$7&lt;Fin_Close,SUM($E28:M28),L73)</f>
        <v>0</v>
      </c>
      <c r="N73" s="782" t="n">
        <f aca="false">IF(N$7&lt;Fin_Close,SUM($E28:N28),M73)</f>
        <v>0</v>
      </c>
      <c r="O73" s="782" t="n">
        <f aca="false">IF(O$7&lt;Fin_Close,SUM($E28:O28),N73)</f>
        <v>0</v>
      </c>
      <c r="P73" s="782" t="n">
        <f aca="false">IF(P$7&lt;Fin_Close,SUM($E28:P28),O73)</f>
        <v>0</v>
      </c>
      <c r="Q73" s="782" t="n">
        <f aca="false">IF(Q$7&lt;Fin_Close,SUM($E28:Q28),P73)</f>
        <v>0</v>
      </c>
      <c r="R73" s="782" t="n">
        <f aca="false">IF(R$7&lt;Fin_Close,SUM($E28:R28),Q73)</f>
        <v>0</v>
      </c>
      <c r="S73" s="782" t="n">
        <f aca="false">IF(S$7&lt;Fin_Close,SUM($E28:S28),R73)</f>
        <v>0</v>
      </c>
      <c r="T73" s="782" t="n">
        <f aca="false">IF(T$7&lt;Fin_Close,SUM($E28:T28),S73)</f>
        <v>21.4063614049587</v>
      </c>
      <c r="U73" s="782" t="n">
        <f aca="false">IF(U$7&lt;Fin_Close,SUM($E28:U28),T73)</f>
        <v>67.1591306907014</v>
      </c>
      <c r="V73" s="782" t="n">
        <f aca="false">IF(V$7&lt;Fin_Close,SUM($E28:V28),U73)</f>
        <v>120.937752303316</v>
      </c>
      <c r="W73" s="782" t="n">
        <f aca="false">IF(W$7&lt;Fin_Close,SUM($E28:W28),V73)</f>
        <v>194.020829419602</v>
      </c>
      <c r="X73" s="782" t="n">
        <f aca="false">IF(X$7&lt;Fin_Close,SUM($E28:X28),W73)</f>
        <v>296.896009816162</v>
      </c>
      <c r="Y73" s="782" t="n">
        <f aca="false">IF(Y$7&lt;Fin_Close,SUM($E28:Y28),X73)</f>
        <v>423.966325036542</v>
      </c>
      <c r="Z73" s="782" t="n">
        <f aca="false">IF(Z$7&lt;Fin_Close,SUM($E28:Z28),Y73)</f>
        <v>574.363277270219</v>
      </c>
      <c r="AA73" s="782" t="n">
        <f aca="false">IF(AA$7&lt;Fin_Close,SUM($E28:AA28),Z73)</f>
        <v>751.226896181915</v>
      </c>
      <c r="AB73" s="782" t="n">
        <f aca="false">IF(AB$7&lt;Fin_Close,SUM($E28:AB28),AA73)</f>
        <v>941.081599432267</v>
      </c>
      <c r="AC73" s="782" t="n">
        <f aca="false">IF(AC$7&lt;Fin_Close,SUM($E28:AC28),AB73)</f>
        <v>1145.09955117419</v>
      </c>
      <c r="AD73" s="782" t="n">
        <f aca="false">IF(AD$7&lt;Fin_Close,SUM($E28:AD28),AC73)</f>
        <v>1375.77591159273</v>
      </c>
      <c r="AE73" s="782" t="n">
        <f aca="false">IF(AE$7&lt;Fin_Close,SUM($E28:AE28),AD73)</f>
        <v>1633.98207188781</v>
      </c>
      <c r="AF73" s="782" t="n">
        <f aca="false">IF(AF$7&lt;Fin_Close,SUM($E28:AF28),AE73)</f>
        <v>1938.83109922166</v>
      </c>
      <c r="AG73" s="782" t="n">
        <f aca="false">IF(AG$7&lt;Fin_Close,SUM($E28:AG28),AF73)</f>
        <v>2290.59736340041</v>
      </c>
      <c r="AH73" s="782" t="n">
        <f aca="false">IF(AH$7&lt;Fin_Close,SUM($E28:AH28),AG73)</f>
        <v>2290.59736340041</v>
      </c>
      <c r="AI73" s="782" t="n">
        <f aca="false">IF(AI$7&lt;Fin_Close,SUM($E28:AI28),AH73)</f>
        <v>2290.59736340041</v>
      </c>
      <c r="AJ73" s="782" t="n">
        <f aca="false">IF(AJ$7&lt;Fin_Close,SUM($E28:AJ28),AI73)</f>
        <v>2290.59736340041</v>
      </c>
      <c r="AK73" s="782" t="n">
        <f aca="false">IF(AK$7&lt;Fin_Close,SUM($E28:AK28),AJ73)</f>
        <v>2290.59736340041</v>
      </c>
      <c r="AL73" s="782" t="n">
        <f aca="false">IF(AL$7&lt;Fin_Close,SUM($E28:AL28),AK73)</f>
        <v>2290.59736340041</v>
      </c>
      <c r="AM73" s="782" t="n">
        <f aca="false">IF(AM$7&lt;Fin_Close,SUM($E28:AM28),AL73)</f>
        <v>2290.59736340041</v>
      </c>
      <c r="AN73" s="782" t="n">
        <f aca="false">IF(AN$7&lt;Fin_Close,SUM($E28:AN28),AM73)</f>
        <v>2290.59736340041</v>
      </c>
      <c r="AO73" s="298"/>
      <c r="AP73" s="310" t="n">
        <f aca="false">AP72+1</f>
        <v>67</v>
      </c>
    </row>
    <row r="74" customFormat="false" ht="12.75" hidden="false" customHeight="false" outlineLevel="0" collapsed="false">
      <c r="A74" s="305" t="s">
        <v>708</v>
      </c>
      <c r="B74" s="105"/>
      <c r="C74" s="105"/>
      <c r="D74" s="105"/>
      <c r="E74" s="784" t="n">
        <f aca="false">IF(E$7&lt;Fin_Close,SUM($E29:E29),D74)</f>
        <v>0</v>
      </c>
      <c r="F74" s="784" t="n">
        <f aca="false">IF(F$7&lt;Fin_Close,SUM($E29:F29),E74)</f>
        <v>0</v>
      </c>
      <c r="G74" s="784" t="n">
        <f aca="false">IF(G$7&lt;Fin_Close,SUM($E29:G29),F74)</f>
        <v>0</v>
      </c>
      <c r="H74" s="784" t="n">
        <f aca="false">IF(H$7&lt;Fin_Close,SUM($E29:H29),G74)</f>
        <v>0</v>
      </c>
      <c r="I74" s="784" t="n">
        <f aca="false">IF(I$7&lt;Fin_Close,SUM($E29:I29),H74)</f>
        <v>0</v>
      </c>
      <c r="J74" s="784" t="n">
        <f aca="false">IF(J$7&lt;Fin_Close,SUM($E29:J29),I74)</f>
        <v>0</v>
      </c>
      <c r="K74" s="784" t="n">
        <f aca="false">IF(K$7&lt;Fin_Close,SUM($E29:K29),J74)</f>
        <v>0</v>
      </c>
      <c r="L74" s="784" t="n">
        <f aca="false">IF(L$7&lt;Fin_Close,SUM($E29:L29),K74)</f>
        <v>0</v>
      </c>
      <c r="M74" s="784" t="n">
        <f aca="false">IF(M$7&lt;Fin_Close,SUM($E29:M29),L74)</f>
        <v>0</v>
      </c>
      <c r="N74" s="784" t="n">
        <f aca="false">IF(N$7&lt;Fin_Close,SUM($E29:N29),M74)</f>
        <v>0</v>
      </c>
      <c r="O74" s="784" t="n">
        <f aca="false">IF(O$7&lt;Fin_Close,SUM($E29:O29),N74)</f>
        <v>0</v>
      </c>
      <c r="P74" s="784" t="n">
        <f aca="false">IF(P$7&lt;Fin_Close,SUM($E29:P29),O74)</f>
        <v>0</v>
      </c>
      <c r="Q74" s="784" t="n">
        <f aca="false">IF(Q$7&lt;Fin_Close,SUM($E29:Q29),P74)</f>
        <v>0</v>
      </c>
      <c r="R74" s="784" t="n">
        <f aca="false">IF(R$7&lt;Fin_Close,SUM($E29:R29),Q74)</f>
        <v>0</v>
      </c>
      <c r="S74" s="784" t="n">
        <f aca="false">IF(S$7&lt;Fin_Close,SUM($E29:S29),R74)</f>
        <v>0</v>
      </c>
      <c r="T74" s="784" t="n">
        <f aca="false">IF(T$7&lt;Fin_Close,SUM($E29:T29),S74)</f>
        <v>3.77759318911035</v>
      </c>
      <c r="U74" s="784" t="n">
        <f aca="false">IF(U$7&lt;Fin_Close,SUM($E29:U29),T74)</f>
        <v>11.8516112983591</v>
      </c>
      <c r="V74" s="784" t="n">
        <f aca="false">IF(V$7&lt;Fin_Close,SUM($E29:V29),U74)</f>
        <v>21.3419562888204</v>
      </c>
      <c r="W74" s="784" t="n">
        <f aca="false">IF(W$7&lt;Fin_Close,SUM($E29:W29),V74)</f>
        <v>34.2389698975768</v>
      </c>
      <c r="X74" s="784" t="n">
        <f aca="false">IF(X$7&lt;Fin_Close,SUM($E29:X29),W74)</f>
        <v>52.3934134969697</v>
      </c>
      <c r="Y74" s="784" t="n">
        <f aca="false">IF(Y$7&lt;Fin_Close,SUM($E29:Y29),X74)</f>
        <v>74.8175867711545</v>
      </c>
      <c r="Z74" s="784" t="n">
        <f aca="false">IF(Z$7&lt;Fin_Close,SUM($E29:Z29),Y74)</f>
        <v>101.358225400627</v>
      </c>
      <c r="AA74" s="784" t="n">
        <f aca="false">IF(AA$7&lt;Fin_Close,SUM($E29:AA29),Z74)</f>
        <v>132.569452267397</v>
      </c>
      <c r="AB74" s="784" t="n">
        <f aca="false">IF(AB$7&lt;Fin_Close,SUM($E29:AB29),AA74)</f>
        <v>166.073223429224</v>
      </c>
      <c r="AC74" s="784" t="n">
        <f aca="false">IF(AC$7&lt;Fin_Close,SUM($E29:AC29),AB74)</f>
        <v>202.076391383681</v>
      </c>
      <c r="AD74" s="784" t="n">
        <f aca="false">IF(AD$7&lt;Fin_Close,SUM($E29:AD29),AC74)</f>
        <v>242.783984398717</v>
      </c>
      <c r="AE74" s="784" t="n">
        <f aca="false">IF(AE$7&lt;Fin_Close,SUM($E29:AE29),AD74)</f>
        <v>288.349777391966</v>
      </c>
      <c r="AF74" s="784" t="n">
        <f aca="false">IF(AF$7&lt;Fin_Close,SUM($E29:AF29),AE74)</f>
        <v>342.146664568529</v>
      </c>
      <c r="AG74" s="784" t="n">
        <f aca="false">IF(AG$7&lt;Fin_Close,SUM($E29:AG29),AF74)</f>
        <v>404.223064129485</v>
      </c>
      <c r="AH74" s="784" t="n">
        <f aca="false">IF(AH$7&lt;Fin_Close,SUM($E29:AH29),AG74)</f>
        <v>404.223064129485</v>
      </c>
      <c r="AI74" s="784" t="n">
        <f aca="false">IF(AI$7&lt;Fin_Close,SUM($E29:AI29),AH74)</f>
        <v>404.223064129485</v>
      </c>
      <c r="AJ74" s="784" t="n">
        <f aca="false">IF(AJ$7&lt;Fin_Close,SUM($E29:AJ29),AI74)</f>
        <v>404.223064129485</v>
      </c>
      <c r="AK74" s="784" t="n">
        <f aca="false">IF(AK$7&lt;Fin_Close,SUM($E29:AK29),AJ74)</f>
        <v>404.223064129485</v>
      </c>
      <c r="AL74" s="784" t="n">
        <f aca="false">IF(AL$7&lt;Fin_Close,SUM($E29:AL29),AK74)</f>
        <v>404.223064129485</v>
      </c>
      <c r="AM74" s="784" t="n">
        <f aca="false">IF(AM$7&lt;Fin_Close,SUM($E29:AM29),AL74)</f>
        <v>404.223064129485</v>
      </c>
      <c r="AN74" s="784" t="n">
        <f aca="false">IF(AN$7&lt;Fin_Close,SUM($E29:AN29),AM74)</f>
        <v>404.223064129485</v>
      </c>
      <c r="AO74" s="298"/>
      <c r="AP74" s="310" t="n">
        <f aca="false">AP73+1</f>
        <v>68</v>
      </c>
    </row>
    <row r="75" customFormat="false" ht="12.75" hidden="false" customHeight="false" outlineLevel="0" collapsed="false">
      <c r="A75" s="305" t="s">
        <v>709</v>
      </c>
      <c r="B75" s="105"/>
      <c r="C75" s="105"/>
      <c r="D75" s="105"/>
      <c r="E75" s="782" t="n">
        <f aca="false">SUM(E72:E74)</f>
        <v>0</v>
      </c>
      <c r="F75" s="782" t="n">
        <f aca="false">SUM(F72:F74)</f>
        <v>0</v>
      </c>
      <c r="G75" s="782" t="n">
        <f aca="false">SUM(G72:G74)</f>
        <v>0</v>
      </c>
      <c r="H75" s="782" t="n">
        <f aca="false">SUM(H72:H74)</f>
        <v>0</v>
      </c>
      <c r="I75" s="782" t="n">
        <f aca="false">SUM(I72:I74)</f>
        <v>0</v>
      </c>
      <c r="J75" s="782" t="n">
        <f aca="false">SUM(J72:J74)</f>
        <v>0</v>
      </c>
      <c r="K75" s="782" t="n">
        <f aca="false">SUM(K72:K74)</f>
        <v>0</v>
      </c>
      <c r="L75" s="782" t="n">
        <f aca="false">SUM(L72:L74)</f>
        <v>0</v>
      </c>
      <c r="M75" s="782" t="n">
        <f aca="false">SUM(M72:M74)</f>
        <v>0</v>
      </c>
      <c r="N75" s="782" t="n">
        <f aca="false">SUM(N72:N74)</f>
        <v>0</v>
      </c>
      <c r="O75" s="782" t="n">
        <f aca="false">SUM(O72:O74)</f>
        <v>0</v>
      </c>
      <c r="P75" s="782" t="n">
        <f aca="false">SUM(P72:P74)</f>
        <v>0</v>
      </c>
      <c r="Q75" s="782" t="n">
        <f aca="false">SUM(Q72:Q74)</f>
        <v>0</v>
      </c>
      <c r="R75" s="782" t="n">
        <f aca="false">SUM(R72:R74)</f>
        <v>0</v>
      </c>
      <c r="S75" s="782" t="n">
        <f aca="false">SUM(S72:S74)</f>
        <v>0</v>
      </c>
      <c r="T75" s="782" t="n">
        <f aca="false">SUM(T72:T74)</f>
        <v>8587.72851657754</v>
      </c>
      <c r="U75" s="782" t="n">
        <f aca="false">SUM(U72:U74)</f>
        <v>9767.20598511455</v>
      </c>
      <c r="V75" s="782" t="n">
        <f aca="false">SUM(V72:V74)</f>
        <v>11807.5116265343</v>
      </c>
      <c r="W75" s="782" t="n">
        <f aca="false">SUM(W72:W74)</f>
        <v>17511.6993107053</v>
      </c>
      <c r="X75" s="782" t="n">
        <f aca="false">SUM(X72:X74)</f>
        <v>23759.4024719145</v>
      </c>
      <c r="Y75" s="782" t="n">
        <f aca="false">SUM(Y72:Y74)</f>
        <v>27218.2181047322</v>
      </c>
      <c r="Z75" s="782" t="n">
        <f aca="false">SUM(Z72:Z74)</f>
        <v>33117.5003796017</v>
      </c>
      <c r="AA75" s="782" t="n">
        <f aca="false">SUM(AA72:AA74)</f>
        <v>37836.0220308552</v>
      </c>
      <c r="AB75" s="782" t="n">
        <f aca="false">SUM(AB72:AB74)</f>
        <v>38329.2177436975</v>
      </c>
      <c r="AC75" s="782" t="n">
        <f aca="false">SUM(AC72:AC74)</f>
        <v>43517.9840727692</v>
      </c>
      <c r="AD75" s="782" t="n">
        <f aca="false">SUM(AD72:AD74)</f>
        <v>49023.9440480781</v>
      </c>
      <c r="AE75" s="782" t="n">
        <f aca="false">SUM(AE72:AE74)</f>
        <v>54562.2920232418</v>
      </c>
      <c r="AF75" s="782" t="n">
        <f aca="false">SUM(AF72:AF74)</f>
        <v>67735.9648248121</v>
      </c>
      <c r="AG75" s="782" t="n">
        <f aca="false">SUM(AG72:AG74)</f>
        <v>73384.3835104272</v>
      </c>
      <c r="AH75" s="782" t="n">
        <f aca="false">SUM(AH72:AH74)</f>
        <v>73384.3835104272</v>
      </c>
      <c r="AI75" s="782" t="n">
        <f aca="false">SUM(AI72:AI74)</f>
        <v>73384.3835104272</v>
      </c>
      <c r="AJ75" s="782" t="n">
        <f aca="false">SUM(AJ72:AJ74)</f>
        <v>73384.3835104272</v>
      </c>
      <c r="AK75" s="782" t="n">
        <f aca="false">SUM(AK72:AK74)</f>
        <v>73384.3835104272</v>
      </c>
      <c r="AL75" s="782" t="n">
        <f aca="false">SUM(AL72:AL74)</f>
        <v>73384.3835104272</v>
      </c>
      <c r="AM75" s="782" t="n">
        <f aca="false">SUM(AM72:AM74)</f>
        <v>73384.3835104272</v>
      </c>
      <c r="AN75" s="782" t="n">
        <f aca="false">SUM(AN72:AN74)</f>
        <v>73384.3835104272</v>
      </c>
      <c r="AO75" s="298"/>
      <c r="AP75" s="310" t="n">
        <f aca="false">AP74+1</f>
        <v>69</v>
      </c>
    </row>
    <row r="76" customFormat="false" ht="12.75" hidden="false" customHeight="false" outlineLevel="0" collapsed="false">
      <c r="A76" s="37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298"/>
    </row>
    <row r="77" customFormat="false" ht="12.75" hidden="false" customHeight="false" outlineLevel="0" collapsed="false">
      <c r="A77" s="790" t="s">
        <v>710</v>
      </c>
      <c r="B77" s="791"/>
      <c r="C77" s="791"/>
      <c r="D77" s="791"/>
      <c r="E77" s="791"/>
      <c r="F77" s="791"/>
      <c r="G77" s="791"/>
      <c r="H77" s="791"/>
      <c r="I77" s="791"/>
      <c r="J77" s="791"/>
      <c r="K77" s="791"/>
      <c r="L77" s="791"/>
      <c r="M77" s="791"/>
      <c r="N77" s="791"/>
      <c r="O77" s="791"/>
      <c r="P77" s="791"/>
      <c r="Q77" s="791"/>
      <c r="R77" s="791"/>
      <c r="S77" s="791"/>
      <c r="T77" s="791"/>
      <c r="U77" s="791"/>
      <c r="V77" s="791"/>
      <c r="W77" s="791"/>
      <c r="X77" s="791"/>
      <c r="Y77" s="791"/>
      <c r="Z77" s="791"/>
      <c r="AA77" s="791"/>
      <c r="AB77" s="791"/>
      <c r="AC77" s="791"/>
      <c r="AD77" s="791"/>
      <c r="AE77" s="791"/>
      <c r="AF77" s="791"/>
      <c r="AG77" s="791"/>
      <c r="AH77" s="791"/>
      <c r="AI77" s="791"/>
      <c r="AJ77" s="791"/>
      <c r="AK77" s="791"/>
      <c r="AL77" s="791"/>
      <c r="AM77" s="791"/>
      <c r="AN77" s="791"/>
      <c r="AO77" s="792"/>
    </row>
    <row r="78" customFormat="false" ht="12.75" hidden="false" customHeight="false" outlineLevel="0" collapsed="false">
      <c r="A78" s="37" t="s">
        <v>711</v>
      </c>
      <c r="B78" s="39"/>
      <c r="C78" s="39"/>
      <c r="D78" s="39"/>
      <c r="E78" s="98" t="n">
        <v>0</v>
      </c>
      <c r="F78" s="61" t="n">
        <f aca="false">E81</f>
        <v>0</v>
      </c>
      <c r="G78" s="61" t="n">
        <f aca="false">F81</f>
        <v>0</v>
      </c>
      <c r="H78" s="61" t="n">
        <f aca="false">G81</f>
        <v>0</v>
      </c>
      <c r="I78" s="61" t="n">
        <f aca="false">H81</f>
        <v>0</v>
      </c>
      <c r="J78" s="61" t="n">
        <f aca="false">I81</f>
        <v>0</v>
      </c>
      <c r="K78" s="61" t="n">
        <f aca="false">J81</f>
        <v>0</v>
      </c>
      <c r="L78" s="61" t="n">
        <f aca="false">K81</f>
        <v>0</v>
      </c>
      <c r="M78" s="61" t="n">
        <f aca="false">L81</f>
        <v>0</v>
      </c>
      <c r="N78" s="61" t="n">
        <f aca="false">M81</f>
        <v>0</v>
      </c>
      <c r="O78" s="61" t="n">
        <f aca="false">N81</f>
        <v>0</v>
      </c>
      <c r="P78" s="61" t="n">
        <f aca="false">O81</f>
        <v>0</v>
      </c>
      <c r="Q78" s="61" t="n">
        <f aca="false">P81</f>
        <v>0</v>
      </c>
      <c r="R78" s="61" t="n">
        <f aca="false">Q81</f>
        <v>0</v>
      </c>
      <c r="S78" s="61" t="n">
        <f aca="false">R81</f>
        <v>0</v>
      </c>
      <c r="T78" s="61" t="n">
        <f aca="false">S81</f>
        <v>0</v>
      </c>
      <c r="U78" s="61" t="n">
        <f aca="false">T81</f>
        <v>0</v>
      </c>
      <c r="V78" s="61" t="n">
        <f aca="false">U81</f>
        <v>0</v>
      </c>
      <c r="W78" s="61" t="n">
        <f aca="false">V81</f>
        <v>0</v>
      </c>
      <c r="X78" s="61" t="n">
        <f aca="false">W81</f>
        <v>0</v>
      </c>
      <c r="Y78" s="61" t="n">
        <f aca="false">X81</f>
        <v>0</v>
      </c>
      <c r="Z78" s="61" t="n">
        <f aca="false">Y81</f>
        <v>0</v>
      </c>
      <c r="AA78" s="61" t="n">
        <f aca="false">Z81</f>
        <v>0</v>
      </c>
      <c r="AB78" s="61" t="n">
        <f aca="false">AA81</f>
        <v>0</v>
      </c>
      <c r="AC78" s="61" t="n">
        <f aca="false">AB81</f>
        <v>0</v>
      </c>
      <c r="AD78" s="61" t="n">
        <f aca="false">AC81</f>
        <v>0</v>
      </c>
      <c r="AE78" s="61" t="n">
        <f aca="false">AD81</f>
        <v>0</v>
      </c>
      <c r="AF78" s="61" t="n">
        <f aca="false">AE81</f>
        <v>0</v>
      </c>
      <c r="AG78" s="61" t="n">
        <f aca="false">AF81</f>
        <v>0</v>
      </c>
      <c r="AH78" s="61" t="n">
        <f aca="false">AG81</f>
        <v>0</v>
      </c>
      <c r="AI78" s="61" t="n">
        <f aca="false">AH81</f>
        <v>13172.6262654859</v>
      </c>
      <c r="AJ78" s="61" t="n">
        <f aca="false">AI81</f>
        <v>9316.08654803661</v>
      </c>
      <c r="AK78" s="61" t="n">
        <f aca="false">AJ81</f>
        <v>5422.39029470418</v>
      </c>
      <c r="AL78" s="61" t="n">
        <f aca="false">AK81</f>
        <v>1491.17951406112</v>
      </c>
      <c r="AM78" s="61" t="n">
        <f aca="false">AL81</f>
        <v>749.164297556239</v>
      </c>
      <c r="AN78" s="61" t="n">
        <f aca="false">AM81</f>
        <v>-1.33013600134291E-011</v>
      </c>
      <c r="AO78" s="304" t="n">
        <f aca="false">E78</f>
        <v>0</v>
      </c>
    </row>
    <row r="79" customFormat="false" ht="12.75" hidden="false" customHeight="false" outlineLevel="0" collapsed="false">
      <c r="A79" s="37" t="s">
        <v>712</v>
      </c>
      <c r="B79" s="39"/>
      <c r="C79" s="39"/>
      <c r="D79" s="39"/>
      <c r="E79" s="61" t="n">
        <f aca="false">IF(E$7=Fin_Close,Debt,0)</f>
        <v>0</v>
      </c>
      <c r="F79" s="61" t="n">
        <f aca="false">IF(F$7=Fin_Close,Debt,0)</f>
        <v>0</v>
      </c>
      <c r="G79" s="61" t="n">
        <f aca="false">IF(G$7=Fin_Close,Debt,0)</f>
        <v>0</v>
      </c>
      <c r="H79" s="61" t="n">
        <f aca="false">IF(H$7=Fin_Close,Debt,0)</f>
        <v>0</v>
      </c>
      <c r="I79" s="61" t="n">
        <f aca="false">IF(I$7=Fin_Close,Debt,0)</f>
        <v>0</v>
      </c>
      <c r="J79" s="61" t="n">
        <f aca="false">IF(J$7=Fin_Close,Debt,0)</f>
        <v>0</v>
      </c>
      <c r="K79" s="61" t="n">
        <f aca="false">IF(K$7=Fin_Close,Debt,0)</f>
        <v>0</v>
      </c>
      <c r="L79" s="61" t="n">
        <f aca="false">IF(L$7=Fin_Close,Debt,0)</f>
        <v>0</v>
      </c>
      <c r="M79" s="61" t="n">
        <f aca="false">IF(M$7=Fin_Close,Debt,0)</f>
        <v>0</v>
      </c>
      <c r="N79" s="61" t="n">
        <f aca="false">IF(N$7=Fin_Close,Debt,0)</f>
        <v>0</v>
      </c>
      <c r="O79" s="61" t="n">
        <f aca="false">IF(O$7=Fin_Close,Debt,0)</f>
        <v>0</v>
      </c>
      <c r="P79" s="61" t="n">
        <f aca="false">IF(P$7=Fin_Close,Debt,0)</f>
        <v>0</v>
      </c>
      <c r="Q79" s="61" t="n">
        <f aca="false">IF(Q$7=Fin_Close,Debt,0)</f>
        <v>0</v>
      </c>
      <c r="R79" s="61" t="n">
        <f aca="false">IF(R$7=Fin_Close,Debt,0)</f>
        <v>0</v>
      </c>
      <c r="S79" s="61" t="n">
        <f aca="false">IF(S$7=Fin_Close,Debt,0)</f>
        <v>0</v>
      </c>
      <c r="T79" s="61" t="n">
        <f aca="false">IF(T$7=Fin_Close,Debt,0)</f>
        <v>0</v>
      </c>
      <c r="U79" s="61" t="n">
        <f aca="false">IF(U$7=Fin_Close,Debt,0)</f>
        <v>0</v>
      </c>
      <c r="V79" s="61" t="n">
        <f aca="false">IF(V$7=Fin_Close,Debt,0)</f>
        <v>0</v>
      </c>
      <c r="W79" s="61" t="n">
        <f aca="false">IF(W$7=Fin_Close,Debt,0)</f>
        <v>0</v>
      </c>
      <c r="X79" s="61" t="n">
        <f aca="false">IF(X$7=Fin_Close,Debt,0)</f>
        <v>0</v>
      </c>
      <c r="Y79" s="61" t="n">
        <f aca="false">IF(Y$7=Fin_Close,Debt,0)</f>
        <v>0</v>
      </c>
      <c r="Z79" s="61" t="n">
        <f aca="false">IF(Z$7=Fin_Close,Debt,0)</f>
        <v>0</v>
      </c>
      <c r="AA79" s="61" t="n">
        <f aca="false">IF(AA$7=Fin_Close,Debt,0)</f>
        <v>0</v>
      </c>
      <c r="AB79" s="61" t="n">
        <f aca="false">IF(AB$7=Fin_Close,Debt,0)</f>
        <v>0</v>
      </c>
      <c r="AC79" s="61" t="n">
        <f aca="false">IF(AC$7=Fin_Close,Debt,0)</f>
        <v>0</v>
      </c>
      <c r="AD79" s="61" t="n">
        <f aca="false">IF(AD$7=Fin_Close,Debt,0)</f>
        <v>0</v>
      </c>
      <c r="AE79" s="61" t="n">
        <f aca="false">IF(AE$7=Fin_Close,Debt,0)</f>
        <v>0</v>
      </c>
      <c r="AF79" s="61" t="n">
        <f aca="false">IF(AF$7=Fin_Close,Debt,0)</f>
        <v>0</v>
      </c>
      <c r="AG79" s="61" t="n">
        <f aca="false">IF(AG$7=Fin_Close,Debt,0)</f>
        <v>0</v>
      </c>
      <c r="AH79" s="61" t="n">
        <f aca="false">IF(AH$7=Fin_Close,Debt,0)</f>
        <v>75934.8027862155</v>
      </c>
      <c r="AI79" s="61" t="n">
        <f aca="false">IF(AI$7=Fin_Close,Debt,0)</f>
        <v>0</v>
      </c>
      <c r="AJ79" s="61" t="n">
        <f aca="false">IF(AJ$7=Fin_Close,Debt,0)</f>
        <v>0</v>
      </c>
      <c r="AK79" s="61" t="n">
        <f aca="false">IF(AK$7=Fin_Close,Debt,0)</f>
        <v>0</v>
      </c>
      <c r="AL79" s="61" t="n">
        <f aca="false">IF(AL$7=Fin_Close,Debt,0)</f>
        <v>0</v>
      </c>
      <c r="AM79" s="61" t="n">
        <f aca="false">IF(AM$7=Fin_Close,Debt,0)</f>
        <v>0</v>
      </c>
      <c r="AN79" s="61" t="n">
        <f aca="false">IF(AN$7=Fin_Close,Debt,0)</f>
        <v>0</v>
      </c>
      <c r="AO79" s="304" t="n">
        <f aca="false">SUM(E79:AN79)</f>
        <v>75934.8027862155</v>
      </c>
    </row>
    <row r="80" customFormat="false" ht="12.75" hidden="false" customHeight="false" outlineLevel="0" collapsed="false">
      <c r="A80" s="37" t="s">
        <v>713</v>
      </c>
      <c r="B80" s="39"/>
      <c r="C80" s="39"/>
      <c r="D80" s="39"/>
      <c r="E80" s="306" t="n">
        <f aca="false">-SUM(E34:E37)</f>
        <v>-0</v>
      </c>
      <c r="F80" s="306" t="n">
        <f aca="false">-SUM(F34:F37)</f>
        <v>-0</v>
      </c>
      <c r="G80" s="306" t="n">
        <f aca="false">-SUM(G34:G37)</f>
        <v>-0</v>
      </c>
      <c r="H80" s="306" t="n">
        <f aca="false">-SUM(H34:H37)</f>
        <v>-0</v>
      </c>
      <c r="I80" s="306" t="n">
        <f aca="false">-SUM(I34:I37)</f>
        <v>-0</v>
      </c>
      <c r="J80" s="306" t="n">
        <f aca="false">-SUM(J34:J37)</f>
        <v>-0</v>
      </c>
      <c r="K80" s="306" t="n">
        <f aca="false">-SUM(K34:K37)</f>
        <v>-0</v>
      </c>
      <c r="L80" s="306" t="n">
        <f aca="false">-SUM(L34:L37)</f>
        <v>-0</v>
      </c>
      <c r="M80" s="306" t="n">
        <f aca="false">-SUM(M34:M37)</f>
        <v>-0</v>
      </c>
      <c r="N80" s="306" t="n">
        <f aca="false">-SUM(N34:N37)</f>
        <v>-0</v>
      </c>
      <c r="O80" s="306" t="n">
        <f aca="false">-SUM(O34:O37)</f>
        <v>-0</v>
      </c>
      <c r="P80" s="306" t="n">
        <f aca="false">-SUM(P34:P37)</f>
        <v>-0</v>
      </c>
      <c r="Q80" s="306" t="n">
        <f aca="false">-SUM(Q34:Q37)</f>
        <v>-0</v>
      </c>
      <c r="R80" s="306" t="n">
        <f aca="false">-SUM(R34:R37)</f>
        <v>-0</v>
      </c>
      <c r="S80" s="306" t="n">
        <f aca="false">-SUM(S34:S37)</f>
        <v>-0</v>
      </c>
      <c r="T80" s="306" t="n">
        <f aca="false">-SUM(T34:T37)</f>
        <v>-0</v>
      </c>
      <c r="U80" s="306" t="n">
        <f aca="false">-SUM(U34:U37)</f>
        <v>-0</v>
      </c>
      <c r="V80" s="306" t="n">
        <f aca="false">-SUM(V34:V37)</f>
        <v>-0</v>
      </c>
      <c r="W80" s="306" t="n">
        <f aca="false">-SUM(W34:W37)</f>
        <v>-0</v>
      </c>
      <c r="X80" s="306" t="n">
        <f aca="false">-SUM(X34:X37)</f>
        <v>-0</v>
      </c>
      <c r="Y80" s="306" t="n">
        <f aca="false">-SUM(Y34:Y37)</f>
        <v>-0</v>
      </c>
      <c r="Z80" s="306" t="n">
        <f aca="false">-SUM(Z34:Z37)</f>
        <v>-0</v>
      </c>
      <c r="AA80" s="306" t="n">
        <f aca="false">-SUM(AA34:AA37)</f>
        <v>-0</v>
      </c>
      <c r="AB80" s="306" t="n">
        <f aca="false">-SUM(AB34:AB37)</f>
        <v>-0</v>
      </c>
      <c r="AC80" s="306" t="n">
        <f aca="false">-SUM(AC34:AC37)</f>
        <v>-0</v>
      </c>
      <c r="AD80" s="306" t="n">
        <f aca="false">-SUM(AD34:AD37)</f>
        <v>-0</v>
      </c>
      <c r="AE80" s="306" t="n">
        <f aca="false">-SUM(AE34:AE37)</f>
        <v>-0</v>
      </c>
      <c r="AF80" s="306" t="n">
        <f aca="false">-SUM(AF34:AF37)</f>
        <v>-0</v>
      </c>
      <c r="AG80" s="306" t="n">
        <f aca="false">-SUM(AG34:AG37)</f>
        <v>-0</v>
      </c>
      <c r="AH80" s="306" t="n">
        <f aca="false">-SUM(AH34:AH37)</f>
        <v>-62762.1765207295</v>
      </c>
      <c r="AI80" s="306" t="n">
        <f aca="false">-SUM(AI34:AI37)</f>
        <v>-3856.53971744934</v>
      </c>
      <c r="AJ80" s="306" t="n">
        <f aca="false">-SUM(AJ34:AJ37)</f>
        <v>-3893.69625333243</v>
      </c>
      <c r="AK80" s="306" t="n">
        <f aca="false">-SUM(AK34:AK37)</f>
        <v>-3931.21078064306</v>
      </c>
      <c r="AL80" s="306" t="n">
        <f aca="false">-SUM(AL34:AL37)</f>
        <v>-742.015216504886</v>
      </c>
      <c r="AM80" s="306" t="n">
        <f aca="false">-SUM(AM34:AM37)</f>
        <v>-749.164297556252</v>
      </c>
      <c r="AN80" s="306" t="n">
        <f aca="false">-SUM(AN34:AN37)</f>
        <v>4.31898291905894E-015</v>
      </c>
      <c r="AO80" s="307" t="n">
        <f aca="false">SUM(E80:AN80)</f>
        <v>-75934.8027862155</v>
      </c>
    </row>
    <row r="81" customFormat="false" ht="12.75" hidden="false" customHeight="false" outlineLevel="0" collapsed="false">
      <c r="A81" s="37" t="s">
        <v>714</v>
      </c>
      <c r="B81" s="39"/>
      <c r="C81" s="39"/>
      <c r="D81" s="39"/>
      <c r="E81" s="61" t="n">
        <f aca="false">SUM(E78:E80)</f>
        <v>0</v>
      </c>
      <c r="F81" s="61" t="n">
        <f aca="false">SUM(F78:F80)</f>
        <v>0</v>
      </c>
      <c r="G81" s="61" t="n">
        <f aca="false">SUM(G78:G80)</f>
        <v>0</v>
      </c>
      <c r="H81" s="61" t="n">
        <f aca="false">SUM(H78:H80)</f>
        <v>0</v>
      </c>
      <c r="I81" s="61" t="n">
        <f aca="false">SUM(I78:I80)</f>
        <v>0</v>
      </c>
      <c r="J81" s="61" t="n">
        <f aca="false">SUM(J78:J80)</f>
        <v>0</v>
      </c>
      <c r="K81" s="61" t="n">
        <f aca="false">SUM(K78:K80)</f>
        <v>0</v>
      </c>
      <c r="L81" s="61" t="n">
        <f aca="false">SUM(L78:L80)</f>
        <v>0</v>
      </c>
      <c r="M81" s="61" t="n">
        <f aca="false">SUM(M78:M80)</f>
        <v>0</v>
      </c>
      <c r="N81" s="61" t="n">
        <f aca="false">SUM(N78:N80)</f>
        <v>0</v>
      </c>
      <c r="O81" s="61" t="n">
        <f aca="false">SUM(O78:O80)</f>
        <v>0</v>
      </c>
      <c r="P81" s="61" t="n">
        <f aca="false">SUM(P78:P80)</f>
        <v>0</v>
      </c>
      <c r="Q81" s="61" t="n">
        <f aca="false">SUM(Q78:Q80)</f>
        <v>0</v>
      </c>
      <c r="R81" s="61" t="n">
        <f aca="false">SUM(R78:R80)</f>
        <v>0</v>
      </c>
      <c r="S81" s="61" t="n">
        <f aca="false">SUM(S78:S80)</f>
        <v>0</v>
      </c>
      <c r="T81" s="61" t="n">
        <f aca="false">SUM(T78:T80)</f>
        <v>0</v>
      </c>
      <c r="U81" s="61" t="n">
        <f aca="false">SUM(U78:U80)</f>
        <v>0</v>
      </c>
      <c r="V81" s="61" t="n">
        <f aca="false">SUM(V78:V80)</f>
        <v>0</v>
      </c>
      <c r="W81" s="61" t="n">
        <f aca="false">SUM(W78:W80)</f>
        <v>0</v>
      </c>
      <c r="X81" s="61" t="n">
        <f aca="false">SUM(X78:X80)</f>
        <v>0</v>
      </c>
      <c r="Y81" s="61" t="n">
        <f aca="false">SUM(Y78:Y80)</f>
        <v>0</v>
      </c>
      <c r="Z81" s="61" t="n">
        <f aca="false">SUM(Z78:Z80)</f>
        <v>0</v>
      </c>
      <c r="AA81" s="61" t="n">
        <f aca="false">SUM(AA78:AA80)</f>
        <v>0</v>
      </c>
      <c r="AB81" s="61" t="n">
        <f aca="false">SUM(AB78:AB80)</f>
        <v>0</v>
      </c>
      <c r="AC81" s="61" t="n">
        <f aca="false">SUM(AC78:AC80)</f>
        <v>0</v>
      </c>
      <c r="AD81" s="61" t="n">
        <f aca="false">SUM(AD78:AD80)</f>
        <v>0</v>
      </c>
      <c r="AE81" s="61" t="n">
        <f aca="false">SUM(AE78:AE80)</f>
        <v>0</v>
      </c>
      <c r="AF81" s="61" t="n">
        <f aca="false">SUM(AF78:AF80)</f>
        <v>0</v>
      </c>
      <c r="AG81" s="61" t="n">
        <f aca="false">SUM(AG78:AG80)</f>
        <v>0</v>
      </c>
      <c r="AH81" s="61" t="n">
        <f aca="false">SUM(AH78:AH80)</f>
        <v>13172.6262654859</v>
      </c>
      <c r="AI81" s="61" t="n">
        <f aca="false">SUM(AI78:AI80)</f>
        <v>9316.08654803661</v>
      </c>
      <c r="AJ81" s="61" t="n">
        <f aca="false">SUM(AJ78:AJ80)</f>
        <v>5422.39029470418</v>
      </c>
      <c r="AK81" s="61" t="n">
        <f aca="false">SUM(AK78:AK80)</f>
        <v>1491.17951406112</v>
      </c>
      <c r="AL81" s="61" t="n">
        <f aca="false">SUM(AL78:AL80)</f>
        <v>749.164297556239</v>
      </c>
      <c r="AM81" s="61" t="n">
        <f aca="false">SUM(AM78:AM80)</f>
        <v>-1.33013600134291E-011</v>
      </c>
      <c r="AN81" s="61" t="n">
        <f aca="false">SUM(AN78:AN80)</f>
        <v>-1.329704103051E-011</v>
      </c>
      <c r="AO81" s="304" t="n">
        <f aca="false">SUM(AO78:AO80)</f>
        <v>0</v>
      </c>
    </row>
    <row r="82" customFormat="false" ht="12.75" hidden="false" customHeight="false" outlineLevel="0" collapsed="false">
      <c r="A82" s="37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298"/>
    </row>
    <row r="83" customFormat="false" ht="12.75" hidden="false" customHeight="false" outlineLevel="0" collapsed="false">
      <c r="A83" s="37" t="s">
        <v>77</v>
      </c>
      <c r="B83" s="39"/>
      <c r="C83" s="39"/>
      <c r="D83" s="299" t="n">
        <f aca="false">Assm!$X$75</f>
        <v>0.005</v>
      </c>
      <c r="E83" s="306" t="n">
        <f aca="false">E81*$D83/12</f>
        <v>0</v>
      </c>
      <c r="F83" s="306" t="n">
        <f aca="false">F81*$D83/12</f>
        <v>0</v>
      </c>
      <c r="G83" s="306" t="n">
        <f aca="false">G81*$D83/12</f>
        <v>0</v>
      </c>
      <c r="H83" s="306" t="n">
        <f aca="false">H81*$D83/12</f>
        <v>0</v>
      </c>
      <c r="I83" s="306" t="n">
        <f aca="false">I81*$D83/12</f>
        <v>0</v>
      </c>
      <c r="J83" s="306" t="n">
        <f aca="false">J81*$D83/12</f>
        <v>0</v>
      </c>
      <c r="K83" s="306" t="n">
        <f aca="false">K81*$D83/12</f>
        <v>0</v>
      </c>
      <c r="L83" s="306" t="n">
        <f aca="false">L81*$D83/12</f>
        <v>0</v>
      </c>
      <c r="M83" s="306" t="n">
        <f aca="false">M81*$D83/12</f>
        <v>0</v>
      </c>
      <c r="N83" s="306" t="n">
        <f aca="false">N81*$D83/12</f>
        <v>0</v>
      </c>
      <c r="O83" s="306" t="n">
        <f aca="false">O81*$D83/12</f>
        <v>0</v>
      </c>
      <c r="P83" s="306" t="n">
        <f aca="false">P81*$D83/12</f>
        <v>0</v>
      </c>
      <c r="Q83" s="306" t="n">
        <f aca="false">Q81*$D83/12</f>
        <v>0</v>
      </c>
      <c r="R83" s="306" t="n">
        <f aca="false">R81*$D83/12</f>
        <v>0</v>
      </c>
      <c r="S83" s="306" t="n">
        <f aca="false">S81*$D83/12</f>
        <v>0</v>
      </c>
      <c r="T83" s="306" t="n">
        <f aca="false">T81*$D83/12</f>
        <v>0</v>
      </c>
      <c r="U83" s="306" t="n">
        <f aca="false">U81*$D83/12</f>
        <v>0</v>
      </c>
      <c r="V83" s="306" t="n">
        <f aca="false">V81*$D83/12</f>
        <v>0</v>
      </c>
      <c r="W83" s="306" t="n">
        <f aca="false">W81*$D83/12</f>
        <v>0</v>
      </c>
      <c r="X83" s="306" t="n">
        <f aca="false">X81*$D83/12</f>
        <v>0</v>
      </c>
      <c r="Y83" s="306" t="n">
        <f aca="false">Y81*$D83/12</f>
        <v>0</v>
      </c>
      <c r="Z83" s="306" t="n">
        <f aca="false">Z81*$D83/12</f>
        <v>0</v>
      </c>
      <c r="AA83" s="306" t="n">
        <f aca="false">AA81*$D83/12</f>
        <v>0</v>
      </c>
      <c r="AB83" s="306" t="n">
        <f aca="false">AB81*$D83/12</f>
        <v>0</v>
      </c>
      <c r="AC83" s="306" t="n">
        <f aca="false">AC81*$D83/12</f>
        <v>0</v>
      </c>
      <c r="AD83" s="306" t="n">
        <f aca="false">AD81*$D83/12</f>
        <v>0</v>
      </c>
      <c r="AE83" s="306" t="n">
        <f aca="false">AE81*$D83/12</f>
        <v>0</v>
      </c>
      <c r="AF83" s="306" t="n">
        <f aca="false">AF81*$D83/12</f>
        <v>0</v>
      </c>
      <c r="AG83" s="306" t="n">
        <f aca="false">AG81*$D83/12</f>
        <v>0</v>
      </c>
      <c r="AH83" s="306" t="n">
        <f aca="false">AH81*$D83/12</f>
        <v>5.48859427728581</v>
      </c>
      <c r="AI83" s="306" t="n">
        <f aca="false">AI81*$D83/12</f>
        <v>3.88170272834859</v>
      </c>
      <c r="AJ83" s="306" t="n">
        <f aca="false">AJ81*$D83/12</f>
        <v>2.25932928946007</v>
      </c>
      <c r="AK83" s="306" t="n">
        <f aca="false">AK81*$D83/12</f>
        <v>0.621324797525468</v>
      </c>
      <c r="AL83" s="306" t="n">
        <f aca="false">AL81*$D83/12</f>
        <v>0.312151790648433</v>
      </c>
      <c r="AM83" s="306" t="n">
        <f aca="false">AM81*$D83/12</f>
        <v>-5.54223333892878E-015</v>
      </c>
      <c r="AN83" s="306" t="n">
        <f aca="false">AN81*$D83/12</f>
        <v>-5.54043376271251E-015</v>
      </c>
      <c r="AO83" s="307" t="n">
        <f aca="false">SUM(E83:AN83)</f>
        <v>12.5631028832684</v>
      </c>
    </row>
    <row r="84" customFormat="false" ht="12.75" hidden="false" customHeight="false" outlineLevel="0" collapsed="false">
      <c r="A84" s="37" t="s">
        <v>715</v>
      </c>
      <c r="B84" s="39"/>
      <c r="C84" s="39"/>
      <c r="D84" s="39"/>
      <c r="E84" s="61" t="n">
        <f aca="false">SUM(E83)</f>
        <v>0</v>
      </c>
      <c r="F84" s="61" t="n">
        <f aca="false">SUM(F83)</f>
        <v>0</v>
      </c>
      <c r="G84" s="61" t="n">
        <f aca="false">SUM(G83)</f>
        <v>0</v>
      </c>
      <c r="H84" s="61" t="n">
        <f aca="false">SUM(H83)</f>
        <v>0</v>
      </c>
      <c r="I84" s="61" t="n">
        <f aca="false">SUM(I83)</f>
        <v>0</v>
      </c>
      <c r="J84" s="61" t="n">
        <f aca="false">SUM(J83)</f>
        <v>0</v>
      </c>
      <c r="K84" s="61" t="n">
        <f aca="false">SUM(K83)</f>
        <v>0</v>
      </c>
      <c r="L84" s="61" t="n">
        <f aca="false">SUM(L83)</f>
        <v>0</v>
      </c>
      <c r="M84" s="61" t="n">
        <f aca="false">SUM(M83)</f>
        <v>0</v>
      </c>
      <c r="N84" s="61" t="n">
        <f aca="false">SUM(N83)</f>
        <v>0</v>
      </c>
      <c r="O84" s="61" t="n">
        <f aca="false">SUM(O83)</f>
        <v>0</v>
      </c>
      <c r="P84" s="61" t="n">
        <f aca="false">SUM(P83)</f>
        <v>0</v>
      </c>
      <c r="Q84" s="61" t="n">
        <f aca="false">SUM(Q83)</f>
        <v>0</v>
      </c>
      <c r="R84" s="61" t="n">
        <f aca="false">SUM(R83)</f>
        <v>0</v>
      </c>
      <c r="S84" s="61" t="n">
        <f aca="false">SUM(S83)</f>
        <v>0</v>
      </c>
      <c r="T84" s="61" t="n">
        <f aca="false">SUM(T83)</f>
        <v>0</v>
      </c>
      <c r="U84" s="61" t="n">
        <f aca="false">SUM(U83)</f>
        <v>0</v>
      </c>
      <c r="V84" s="61" t="n">
        <f aca="false">SUM(V83)</f>
        <v>0</v>
      </c>
      <c r="W84" s="61" t="n">
        <f aca="false">SUM(W83)</f>
        <v>0</v>
      </c>
      <c r="X84" s="61" t="n">
        <f aca="false">SUM(X83)</f>
        <v>0</v>
      </c>
      <c r="Y84" s="61" t="n">
        <f aca="false">SUM(Y83)</f>
        <v>0</v>
      </c>
      <c r="Z84" s="61" t="n">
        <f aca="false">SUM(Z83)</f>
        <v>0</v>
      </c>
      <c r="AA84" s="61" t="n">
        <f aca="false">SUM(AA83)</f>
        <v>0</v>
      </c>
      <c r="AB84" s="61" t="n">
        <f aca="false">SUM(AB83)</f>
        <v>0</v>
      </c>
      <c r="AC84" s="61" t="n">
        <f aca="false">SUM(AC83)</f>
        <v>0</v>
      </c>
      <c r="AD84" s="61" t="n">
        <f aca="false">SUM(AD83)</f>
        <v>0</v>
      </c>
      <c r="AE84" s="61" t="n">
        <f aca="false">SUM(AE83)</f>
        <v>0</v>
      </c>
      <c r="AF84" s="61" t="n">
        <f aca="false">SUM(AF83)</f>
        <v>0</v>
      </c>
      <c r="AG84" s="61" t="n">
        <f aca="false">SUM(AG83)</f>
        <v>0</v>
      </c>
      <c r="AH84" s="61" t="n">
        <f aca="false">SUM(AH83)</f>
        <v>5.48859427728581</v>
      </c>
      <c r="AI84" s="61" t="n">
        <f aca="false">SUM(AI83)</f>
        <v>3.88170272834859</v>
      </c>
      <c r="AJ84" s="61" t="n">
        <f aca="false">SUM(AJ83)</f>
        <v>2.25932928946007</v>
      </c>
      <c r="AK84" s="61" t="n">
        <f aca="false">SUM(AK83)</f>
        <v>0.621324797525468</v>
      </c>
      <c r="AL84" s="61" t="n">
        <f aca="false">SUM(AL83)</f>
        <v>0.312151790648433</v>
      </c>
      <c r="AM84" s="61" t="n">
        <f aca="false">SUM(AM83)</f>
        <v>-5.54223333892878E-015</v>
      </c>
      <c r="AN84" s="61" t="n">
        <f aca="false">SUM(AN83)</f>
        <v>-5.54043376271251E-015</v>
      </c>
      <c r="AO84" s="304" t="n">
        <f aca="false">SUM(E84:AN84)</f>
        <v>12.5631028832684</v>
      </c>
    </row>
    <row r="85" customFormat="false" ht="12.75" hidden="false" customHeight="false" outlineLevel="0" collapsed="false">
      <c r="A85" s="37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298"/>
    </row>
    <row r="86" customFormat="false" ht="12.75" hidden="false" customHeight="false" outlineLevel="0" collapsed="false">
      <c r="A86" s="788" t="s">
        <v>716</v>
      </c>
      <c r="B86" s="573"/>
      <c r="C86" s="573"/>
      <c r="D86" s="789" t="n">
        <f aca="false">AO84</f>
        <v>12.5631028832684</v>
      </c>
      <c r="E86" s="793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298"/>
    </row>
    <row r="87" customFormat="false" ht="13.5" hidden="false" customHeight="false" outlineLevel="0" collapsed="false">
      <c r="A87" s="175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349"/>
    </row>
    <row r="88" customFormat="false" ht="12.75" hidden="false" customHeight="false" outlineLevel="0" collapsed="false">
      <c r="B88" s="3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9"/>
  <sheetViews>
    <sheetView showFormulas="false" showGridLines="false" showRowColHeaders="true" showZeros="true" rightToLeft="false" tabSelected="false" showOutlineSymbols="true" defaultGridColor="true" view="normal" topLeftCell="A6" colorId="64" zoomScale="80" zoomScaleNormal="80" zoomScalePageLayoutView="100" workbookViewId="0">
      <pane xSplit="0" ySplit="2" topLeftCell="BM10" activePane="bottomLeft" state="frozen"/>
      <selection pane="topLeft" activeCell="A6" activeCellId="0" sqref="A6"/>
      <selection pane="bottomLeft" activeCell="H24" activeCellId="0" sqref="H2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1" width="7.7"/>
    <col collapsed="false" customWidth="true" hidden="false" outlineLevel="0" max="3" min="3" style="1" width="12.85"/>
    <col collapsed="false" customWidth="true" hidden="false" outlineLevel="0" max="28" min="4" style="1" width="10.71"/>
    <col collapsed="false" customWidth="true" hidden="false" outlineLevel="0" max="30" min="29" style="1" width="10.41"/>
    <col collapsed="false" customWidth="true" hidden="false" outlineLevel="0" max="42" min="31" style="1" width="10.71"/>
    <col collapsed="false" customWidth="false" hidden="false" outlineLevel="0" max="257" min="43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469"/>
      <c r="Z1" s="469"/>
      <c r="AA1" s="116"/>
      <c r="AB1" s="116"/>
      <c r="AC1" s="108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469"/>
      <c r="Z2" s="469"/>
      <c r="AA2" s="116"/>
      <c r="AB2" s="116"/>
      <c r="AC2" s="108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69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69"/>
      <c r="W3" s="469"/>
      <c r="X3" s="469"/>
      <c r="Y3" s="469"/>
      <c r="Z3" s="469"/>
      <c r="AA3" s="116"/>
      <c r="AB3" s="116"/>
      <c r="AC3" s="108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717</v>
      </c>
      <c r="B4" s="21"/>
      <c r="C4" s="522"/>
      <c r="D4" s="448"/>
      <c r="E4" s="469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116"/>
      <c r="AB4" s="116"/>
      <c r="AC4" s="108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6"/>
      <c r="E6" s="26" t="n">
        <f aca="false">CF!E6</f>
        <v>1</v>
      </c>
      <c r="F6" s="26" t="n">
        <f aca="false">CF!F6</f>
        <v>2</v>
      </c>
      <c r="G6" s="26" t="n">
        <f aca="false">CF!G6</f>
        <v>3</v>
      </c>
      <c r="H6" s="26" t="n">
        <f aca="false">CF!H6</f>
        <v>4</v>
      </c>
      <c r="I6" s="26" t="n">
        <f aca="false">CF!I6</f>
        <v>5</v>
      </c>
      <c r="J6" s="26" t="n">
        <f aca="false">CF!J6</f>
        <v>6</v>
      </c>
      <c r="K6" s="26" t="n">
        <f aca="false">CF!K6</f>
        <v>7</v>
      </c>
      <c r="L6" s="26" t="n">
        <f aca="false">CF!L6</f>
        <v>8</v>
      </c>
      <c r="M6" s="26" t="n">
        <f aca="false">CF!M6</f>
        <v>9</v>
      </c>
      <c r="N6" s="26" t="n">
        <f aca="false">CF!N6</f>
        <v>10</v>
      </c>
      <c r="O6" s="26" t="n">
        <f aca="false">CF!O6</f>
        <v>11</v>
      </c>
      <c r="P6" s="26" t="n">
        <f aca="false">CF!P6</f>
        <v>12</v>
      </c>
      <c r="Q6" s="26" t="n">
        <f aca="false">CF!Q6</f>
        <v>13</v>
      </c>
      <c r="R6" s="26" t="n">
        <f aca="false">CF!R6</f>
        <v>14</v>
      </c>
      <c r="S6" s="26" t="n">
        <f aca="false">CF!S6</f>
        <v>15</v>
      </c>
      <c r="T6" s="26" t="n">
        <f aca="false">CF!T6</f>
        <v>16</v>
      </c>
      <c r="U6" s="26" t="n">
        <f aca="false">CF!U6</f>
        <v>17</v>
      </c>
      <c r="V6" s="26" t="n">
        <f aca="false">CF!V6</f>
        <v>18</v>
      </c>
      <c r="W6" s="26" t="n">
        <f aca="false">CF!W6</f>
        <v>19</v>
      </c>
      <c r="X6" s="26" t="n">
        <f aca="false">CF!X6</f>
        <v>20</v>
      </c>
      <c r="Y6" s="26" t="n">
        <f aca="false">CF!Y6</f>
        <v>21</v>
      </c>
      <c r="Z6" s="26"/>
      <c r="AA6" s="26"/>
      <c r="AB6" s="26"/>
      <c r="AC6" s="26"/>
      <c r="AD6" s="287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89" t="s">
        <v>322</v>
      </c>
      <c r="B7" s="22"/>
      <c r="C7" s="22"/>
      <c r="D7" s="50"/>
      <c r="E7" s="292" t="n">
        <f aca="false">CF!E7</f>
        <v>1999</v>
      </c>
      <c r="F7" s="292" t="n">
        <f aca="false">E7+1</f>
        <v>2000</v>
      </c>
      <c r="G7" s="292" t="n">
        <f aca="false">F7+1</f>
        <v>2001</v>
      </c>
      <c r="H7" s="292" t="n">
        <f aca="false">G7+1</f>
        <v>2002</v>
      </c>
      <c r="I7" s="292" t="n">
        <f aca="false">H7+1</f>
        <v>2003</v>
      </c>
      <c r="J7" s="292" t="n">
        <f aca="false">I7+1</f>
        <v>2004</v>
      </c>
      <c r="K7" s="292" t="n">
        <f aca="false">J7+1</f>
        <v>2005</v>
      </c>
      <c r="L7" s="292" t="n">
        <f aca="false">K7+1</f>
        <v>2006</v>
      </c>
      <c r="M7" s="292" t="n">
        <f aca="false">L7+1</f>
        <v>2007</v>
      </c>
      <c r="N7" s="292" t="n">
        <f aca="false">M7+1</f>
        <v>2008</v>
      </c>
      <c r="O7" s="292" t="n">
        <f aca="false">N7+1</f>
        <v>2009</v>
      </c>
      <c r="P7" s="292" t="n">
        <f aca="false">O7+1</f>
        <v>2010</v>
      </c>
      <c r="Q7" s="292" t="n">
        <f aca="false">P7+1</f>
        <v>2011</v>
      </c>
      <c r="R7" s="292" t="n">
        <f aca="false">Q7+1</f>
        <v>2012</v>
      </c>
      <c r="S7" s="292" t="n">
        <f aca="false">R7+1</f>
        <v>2013</v>
      </c>
      <c r="T7" s="292" t="n">
        <f aca="false">S7+1</f>
        <v>2014</v>
      </c>
      <c r="U7" s="292" t="n">
        <f aca="false">T7+1</f>
        <v>2015</v>
      </c>
      <c r="V7" s="292" t="n">
        <f aca="false">U7+1</f>
        <v>2016</v>
      </c>
      <c r="W7" s="292" t="n">
        <f aca="false">V7+1</f>
        <v>2017</v>
      </c>
      <c r="X7" s="292" t="n">
        <f aca="false">W7+1</f>
        <v>2018</v>
      </c>
      <c r="Y7" s="292" t="n">
        <f aca="false">X7+1</f>
        <v>2019</v>
      </c>
      <c r="Z7" s="22"/>
      <c r="AA7" s="22"/>
      <c r="AB7" s="22"/>
      <c r="AC7" s="22"/>
      <c r="AD7" s="293" t="s">
        <v>718</v>
      </c>
      <c r="AE7" s="794" t="n">
        <v>1</v>
      </c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795"/>
      <c r="B8" s="39"/>
      <c r="C8" s="39"/>
      <c r="D8" s="39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39"/>
      <c r="AA8" s="39"/>
      <c r="AB8" s="39"/>
      <c r="AC8" s="39"/>
      <c r="AD8" s="796"/>
      <c r="AE8" s="794" t="n">
        <f aca="false">AE7+1</f>
        <v>2</v>
      </c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423</v>
      </c>
      <c r="B9" s="39"/>
      <c r="C9" s="39"/>
      <c r="D9" s="39"/>
      <c r="E9" s="39" t="n">
        <f aca="false">CF!E9</f>
        <v>0</v>
      </c>
      <c r="F9" s="39" t="n">
        <f aca="false">CF!F9</f>
        <v>0</v>
      </c>
      <c r="G9" s="39" t="n">
        <f aca="false">CF!G9</f>
        <v>10</v>
      </c>
      <c r="H9" s="39" t="n">
        <f aca="false">CF!H9</f>
        <v>12</v>
      </c>
      <c r="I9" s="39" t="n">
        <f aca="false">CF!I9</f>
        <v>12</v>
      </c>
      <c r="J9" s="39" t="n">
        <f aca="false">CF!J9</f>
        <v>12</v>
      </c>
      <c r="K9" s="39" t="n">
        <f aca="false">CF!K9</f>
        <v>12</v>
      </c>
      <c r="L9" s="39" t="n">
        <f aca="false">CF!L9</f>
        <v>12</v>
      </c>
      <c r="M9" s="39" t="n">
        <f aca="false">CF!M9</f>
        <v>12</v>
      </c>
      <c r="N9" s="39" t="n">
        <f aca="false">CF!N9</f>
        <v>12</v>
      </c>
      <c r="O9" s="39" t="n">
        <f aca="false">CF!O9</f>
        <v>12</v>
      </c>
      <c r="P9" s="39" t="n">
        <f aca="false">CF!P9</f>
        <v>12</v>
      </c>
      <c r="Q9" s="39" t="n">
        <f aca="false">CF!Q9</f>
        <v>12</v>
      </c>
      <c r="R9" s="39" t="n">
        <f aca="false">CF!R9</f>
        <v>12</v>
      </c>
      <c r="S9" s="39" t="n">
        <f aca="false">CF!S9</f>
        <v>12</v>
      </c>
      <c r="T9" s="39" t="n">
        <f aca="false">CF!T9</f>
        <v>12</v>
      </c>
      <c r="U9" s="39" t="n">
        <f aca="false">CF!U9</f>
        <v>12</v>
      </c>
      <c r="V9" s="39" t="n">
        <f aca="false">CF!V9</f>
        <v>12</v>
      </c>
      <c r="W9" s="39" t="n">
        <f aca="false">CF!W9</f>
        <v>12</v>
      </c>
      <c r="X9" s="39" t="n">
        <f aca="false">CF!X9</f>
        <v>12</v>
      </c>
      <c r="Y9" s="39" t="n">
        <f aca="false">CF!Y9</f>
        <v>4</v>
      </c>
      <c r="Z9" s="39"/>
      <c r="AA9" s="39"/>
      <c r="AB9" s="39"/>
      <c r="AC9" s="39"/>
      <c r="AD9" s="298" t="n">
        <f aca="false">SUM(E9:Y9)</f>
        <v>218</v>
      </c>
      <c r="AE9" s="794" t="n">
        <f aca="false">AE8+1</f>
        <v>3</v>
      </c>
    </row>
    <row r="10" customFormat="false" ht="12.75" hidden="false" customHeight="false" outlineLevel="0" collapsed="false">
      <c r="A10" s="37"/>
      <c r="B10" s="39"/>
      <c r="C10" s="39"/>
      <c r="D10" s="797"/>
      <c r="E10" s="797" t="n">
        <f aca="false">IF(E$7&lt;$A37,0,IF(E$7=$A37,IF($B$37=0,1,2),D10+2))</f>
        <v>0</v>
      </c>
      <c r="F10" s="797" t="n">
        <f aca="false">IF(F$7&lt;$A37,0,IF(F$7=$A37,IF($B$37=0,1,2),E10+2))</f>
        <v>0</v>
      </c>
      <c r="G10" s="797" t="n">
        <f aca="false">IF(G$7&lt;$A37,0,IF(G$7=$A37,IF($B$37=0,1,2),F10+2))</f>
        <v>1</v>
      </c>
      <c r="H10" s="797" t="n">
        <f aca="false">IF(H$7&lt;$A37,0,IF(H$7=$A37,IF($B$37=0,1,2),G10+2))</f>
        <v>3</v>
      </c>
      <c r="I10" s="797" t="n">
        <f aca="false">IF(I$7&lt;$A37,0,IF(I$7=$A37,IF($B$37=0,1,2),H10+2))</f>
        <v>5</v>
      </c>
      <c r="J10" s="797" t="n">
        <f aca="false">IF(J$7&lt;$A37,0,IF(J$7=$A37,IF($B$37=0,1,2),I10+2))</f>
        <v>7</v>
      </c>
      <c r="K10" s="797" t="n">
        <f aca="false">IF(K$7&lt;$A37,0,IF(K$7=$A37,IF($B$37=0,1,2),J10+2))</f>
        <v>9</v>
      </c>
      <c r="L10" s="797" t="n">
        <f aca="false">IF(L$7&lt;$A37,0,IF(L$7=$A37,IF($B$37=0,1,2),K10+2))</f>
        <v>11</v>
      </c>
      <c r="M10" s="797" t="n">
        <f aca="false">IF(M$7&lt;$A37,0,IF(M$7=$A37,IF($B$37=0,1,2),L10+2))</f>
        <v>13</v>
      </c>
      <c r="N10" s="797" t="n">
        <f aca="false">IF(N$7&lt;$A37,0,IF(N$7=$A37,IF($B$37=0,1,2),M10+2))</f>
        <v>15</v>
      </c>
      <c r="O10" s="797" t="n">
        <f aca="false">IF(O$7&lt;$A37,0,IF(O$7=$A37,IF($B$37=0,1,2),N10+2))</f>
        <v>17</v>
      </c>
      <c r="P10" s="797" t="n">
        <f aca="false">IF(P$7&lt;$A37,0,IF(P$7=$A37,IF($B$37=0,1,2),O10+2))</f>
        <v>19</v>
      </c>
      <c r="Q10" s="797" t="n">
        <f aca="false">IF(Q$7&lt;$A37,0,IF(Q$7=$A37,IF($B$37=0,1,2),P10+2))</f>
        <v>21</v>
      </c>
      <c r="R10" s="797" t="n">
        <f aca="false">IF(R$7&lt;$A37,0,IF(R$7=$A37,IF($B$37=0,1,2),Q10+2))</f>
        <v>23</v>
      </c>
      <c r="S10" s="797" t="n">
        <f aca="false">IF(S$7&lt;$A37,0,IF(S$7=$A37,IF($B$37=0,1,2),R10+2))</f>
        <v>25</v>
      </c>
      <c r="T10" s="797" t="n">
        <f aca="false">IF(T$7&lt;$A37,0,IF(T$7=$A37,IF($B$37=0,1,2),S10+2))</f>
        <v>27</v>
      </c>
      <c r="U10" s="797" t="n">
        <f aca="false">IF(U$7&lt;$A37,0,IF(U$7=$A37,IF($B$37=0,1,2),T10+2))</f>
        <v>29</v>
      </c>
      <c r="V10" s="797" t="n">
        <f aca="false">IF(V$7&lt;$A37,0,IF(V$7=$A37,IF($B$37=0,1,2),U10+2))</f>
        <v>31</v>
      </c>
      <c r="W10" s="797" t="n">
        <f aca="false">IF(W$7&lt;$A37,0,IF(W$7=$A37,IF($B$37=0,1,2),V10+2))</f>
        <v>33</v>
      </c>
      <c r="X10" s="797" t="n">
        <f aca="false">IF(X$7&lt;$A37,0,IF(X$7=$A37,IF($B$37=0,1,2),W10+2))</f>
        <v>35</v>
      </c>
      <c r="Y10" s="797" t="n">
        <f aca="false">IF(Y$7&lt;$A37,0,IF(Y$7=$A37,IF($B$37=0,1,2),X10+2))</f>
        <v>37</v>
      </c>
      <c r="Z10" s="39"/>
      <c r="AA10" s="39"/>
      <c r="AB10" s="39"/>
      <c r="AC10" s="39"/>
      <c r="AD10" s="298"/>
      <c r="AE10" s="794" t="n">
        <f aca="false">AE9+1</f>
        <v>4</v>
      </c>
    </row>
    <row r="11" customFormat="false" ht="12.75" hidden="false" customHeight="false" outlineLevel="0" collapsed="false">
      <c r="A11" s="303" t="s">
        <v>265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298"/>
      <c r="AE11" s="794" t="n">
        <f aca="false">AE10+1</f>
        <v>5</v>
      </c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138" t="s">
        <v>719</v>
      </c>
      <c r="B12" s="39"/>
      <c r="C12" s="39"/>
      <c r="D12" s="315"/>
      <c r="E12" s="61" t="n">
        <f aca="false">IF(E$7&lt;YEAR(Startops2),0,VLOOKUP(E$10,Fin_Table,$AA$79))</f>
        <v>0</v>
      </c>
      <c r="F12" s="61" t="n">
        <f aca="false">IF(F$7&lt;YEAR(Startops2),0,VLOOKUP(F$10,Fin_Table,$AA$79))</f>
        <v>0</v>
      </c>
      <c r="G12" s="61" t="n">
        <f aca="false">IF(G$7&lt;YEAR(Startops2),0,VLOOKUP(G$10,Fin_Table,$AA$79))</f>
        <v>3484.30006534666</v>
      </c>
      <c r="H12" s="61" t="n">
        <f aca="false">IF(H$7&lt;YEAR(Startops2),0,VLOOKUP(H$10,Fin_Table,$AA$79))</f>
        <v>8330.96444278677</v>
      </c>
      <c r="I12" s="61" t="n">
        <f aca="false">IF(I$7&lt;YEAR(Startops2),0,VLOOKUP(I$10,Fin_Table,$AA$79))</f>
        <v>8183.73683679701</v>
      </c>
      <c r="J12" s="61" t="n">
        <f aca="false">IF(J$7&lt;YEAR(Startops2),0,VLOOKUP(J$10,Fin_Table,$AA$79))</f>
        <v>7874.92829957685</v>
      </c>
      <c r="K12" s="61" t="n">
        <f aca="false">IF(K$7&lt;YEAR(Startops2),0,VLOOKUP(K$10,Fin_Table,$AA$79))</f>
        <v>7246.88619934103</v>
      </c>
      <c r="L12" s="61" t="n">
        <f aca="false">IF(L$7&lt;YEAR(Startops2),0,VLOOKUP(L$10,Fin_Table,$AA$79))</f>
        <v>6469.57071121993</v>
      </c>
      <c r="M12" s="61" t="n">
        <f aca="false">IF(M$7&lt;YEAR(Startops2),0,VLOOKUP(M$10,Fin_Table,$AA$79))</f>
        <v>5579.15484297768</v>
      </c>
      <c r="N12" s="61" t="n">
        <f aca="false">IF(N$7&lt;YEAR(Startops2),0,VLOOKUP(N$10,Fin_Table,$AA$79))</f>
        <v>4657.38027414731</v>
      </c>
      <c r="O12" s="61" t="n">
        <f aca="false">IF(O$7&lt;YEAR(Startops2),0,VLOOKUP(O$10,Fin_Table,$AA$79))</f>
        <v>4069.26227957454</v>
      </c>
      <c r="P12" s="61" t="n">
        <f aca="false">IF(P$7&lt;YEAR(Startops2),0,VLOOKUP(P$10,Fin_Table,$AA$79))</f>
        <v>3592.36314308763</v>
      </c>
      <c r="Q12" s="61" t="n">
        <f aca="false">IF(Q$7&lt;YEAR(Startops2),0,VLOOKUP(Q$10,Fin_Table,$AA$79))</f>
        <v>3115.46400660072</v>
      </c>
      <c r="R12" s="61" t="n">
        <f aca="false">IF(R$7&lt;YEAR(Startops2),0,VLOOKUP(R$10,Fin_Table,$AA$79))</f>
        <v>2471.73658298501</v>
      </c>
      <c r="S12" s="61" t="n">
        <f aca="false">IF(S$7&lt;YEAR(Startops2),0,VLOOKUP(S$10,Fin_Table,$AA$79))</f>
        <v>1772.39973032637</v>
      </c>
      <c r="T12" s="61" t="n">
        <f aca="false">IF(T$7&lt;YEAR(Startops2),0,VLOOKUP(T$10,Fin_Table,$AA$79))</f>
        <v>1073.06287766773</v>
      </c>
      <c r="U12" s="61" t="n">
        <f aca="false">IF(U$7&lt;YEAR(Startops2),0,VLOOKUP(U$10,Fin_Table,$AA$79))</f>
        <v>326.687974126908</v>
      </c>
      <c r="V12" s="61" t="n">
        <f aca="false">IF(V$7&lt;YEAR(Startops2),0,VLOOKUP(V$10,Fin_Table,$AA$79))</f>
        <v>0</v>
      </c>
      <c r="W12" s="61" t="n">
        <f aca="false">IF(W$7&lt;YEAR(Startops2),0,VLOOKUP(W$10,Fin_Table,$AA$79))</f>
        <v>0</v>
      </c>
      <c r="X12" s="61" t="n">
        <f aca="false">IF(X$7&lt;YEAR(Startops2),0,VLOOKUP(X$10,Fin_Table,$AA$79))</f>
        <v>0</v>
      </c>
      <c r="Y12" s="61" t="n">
        <f aca="false">IF(Y$7&lt;YEAR(Startops2),0,VLOOKUP(Y$10,Fin_Table,$AA$79))</f>
        <v>0</v>
      </c>
      <c r="Z12" s="39"/>
      <c r="AA12" s="39"/>
      <c r="AB12" s="39"/>
      <c r="AC12" s="39"/>
      <c r="AD12" s="304" t="n">
        <f aca="false">SUM(E12:Y12)</f>
        <v>68247.8982665621</v>
      </c>
      <c r="AE12" s="794" t="n">
        <f aca="false">AE11+1</f>
        <v>6</v>
      </c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138" t="s">
        <v>720</v>
      </c>
      <c r="B13" s="39"/>
      <c r="C13" s="39"/>
      <c r="D13" s="459"/>
      <c r="E13" s="306" t="n">
        <f aca="false">IF(E$7&lt;YEAR(Startops2),0,VLOOKUP(E$10,Fin_Table,$AB$79))</f>
        <v>0</v>
      </c>
      <c r="F13" s="306" t="n">
        <f aca="false">IF(F$7&lt;YEAR(Startops2),0,VLOOKUP(F$10,Fin_Table,$AB$79))</f>
        <v>0</v>
      </c>
      <c r="G13" s="306" t="n">
        <f aca="false">IF(G$7&lt;YEAR(Startops2),0,VLOOKUP(G$10,Fin_Table,$AB$79))</f>
        <v>0</v>
      </c>
      <c r="H13" s="306" t="n">
        <f aca="false">IF(H$7&lt;YEAR(Startops2),0,VLOOKUP(H$10,Fin_Table,$AB$79))</f>
        <v>1138.91356350354</v>
      </c>
      <c r="I13" s="306" t="n">
        <f aca="false">IF(I$7&lt;YEAR(Startops2),0,VLOOKUP(I$10,Fin_Table,$AB$79))</f>
        <v>1930.91355656376</v>
      </c>
      <c r="J13" s="306" t="n">
        <f aca="false">IF(J$7&lt;YEAR(Startops2),0,VLOOKUP(J$10,Fin_Table,$AB$79))</f>
        <v>5423.91448472967</v>
      </c>
      <c r="K13" s="306" t="n">
        <f aca="false">IF(K$7&lt;YEAR(Startops2),0,VLOOKUP(K$10,Fin_Table,$AB$79))</f>
        <v>6885.73175722412</v>
      </c>
      <c r="L13" s="306" t="n">
        <f aca="false">IF(L$7&lt;YEAR(Startops2),0,VLOOKUP(L$10,Fin_Table,$AB$79))</f>
        <v>7800.74613079801</v>
      </c>
      <c r="M13" s="306" t="n">
        <f aca="false">IF(M$7&lt;YEAR(Startops2),0,VLOOKUP(M$10,Fin_Table,$AB$79))</f>
        <v>8370.25715169463</v>
      </c>
      <c r="N13" s="306" t="n">
        <f aca="false">IF(N$7&lt;YEAR(Startops2),0,VLOOKUP(N$10,Fin_Table,$AB$79))</f>
        <v>6350.3913975813</v>
      </c>
      <c r="O13" s="306" t="n">
        <f aca="false">IF(O$7&lt;YEAR(Startops2),0,VLOOKUP(O$10,Fin_Table,$AB$79))</f>
        <v>4330.52564346797</v>
      </c>
      <c r="P13" s="306" t="n">
        <f aca="false">IF(P$7&lt;YEAR(Startops2),0,VLOOKUP(P$10,Fin_Table,$AB$79))</f>
        <v>4330.52564346797</v>
      </c>
      <c r="Q13" s="306" t="n">
        <f aca="false">IF(Q$7&lt;YEAR(Startops2),0,VLOOKUP(Q$10,Fin_Table,$AB$79))</f>
        <v>5340.45852052463</v>
      </c>
      <c r="R13" s="306" t="n">
        <f aca="false">IF(R$7&lt;YEAR(Startops2),0,VLOOKUP(R$10,Fin_Table,$AB$79))</f>
        <v>6350.3913975813</v>
      </c>
      <c r="S13" s="306" t="n">
        <f aca="false">IF(S$7&lt;YEAR(Startops2),0,VLOOKUP(S$10,Fin_Table,$AB$79))</f>
        <v>6350.3913975813</v>
      </c>
      <c r="T13" s="306" t="n">
        <f aca="false">IF(T$7&lt;YEAR(Startops2),0,VLOOKUP(T$10,Fin_Table,$AB$79))</f>
        <v>6578.19580593994</v>
      </c>
      <c r="U13" s="306" t="n">
        <f aca="false">IF(U$7&lt;YEAR(Startops2),0,VLOOKUP(U$10,Fin_Table,$AB$79))</f>
        <v>4753.44633555736</v>
      </c>
      <c r="V13" s="306" t="n">
        <f aca="false">IF(V$7&lt;YEAR(Startops2),0,VLOOKUP(V$10,Fin_Table,$AB$79))</f>
        <v>0</v>
      </c>
      <c r="W13" s="306" t="n">
        <f aca="false">IF(W$7&lt;YEAR(Startops2),0,VLOOKUP(W$10,Fin_Table,$AB$79))</f>
        <v>0</v>
      </c>
      <c r="X13" s="306" t="n">
        <f aca="false">IF(X$7&lt;YEAR(Startops2),0,VLOOKUP(X$10,Fin_Table,$AB$79))</f>
        <v>0</v>
      </c>
      <c r="Y13" s="306" t="n">
        <f aca="false">IF(Y$7&lt;YEAR(Startops2),0,VLOOKUP(Y$10,Fin_Table,$AB$79))</f>
        <v>0</v>
      </c>
      <c r="Z13" s="39"/>
      <c r="AA13" s="39"/>
      <c r="AB13" s="39"/>
      <c r="AC13" s="39"/>
      <c r="AD13" s="307" t="n">
        <f aca="false">SUM(E13:Y13)</f>
        <v>75934.8027862155</v>
      </c>
      <c r="AE13" s="794" t="n">
        <f aca="false">AE12+1</f>
        <v>7</v>
      </c>
      <c r="AF13" s="798" t="str">
        <f aca="false">IF(ROUND(Debt-AD13,0)=0," ","Principal Payments Do Not Tie To Total Debt")</f>
        <v> </v>
      </c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82" t="s">
        <v>721</v>
      </c>
      <c r="B14" s="66"/>
      <c r="C14" s="66"/>
      <c r="D14" s="799"/>
      <c r="E14" s="595" t="n">
        <f aca="false">SUM(E12:E13)</f>
        <v>0</v>
      </c>
      <c r="F14" s="595" t="n">
        <f aca="false">SUM(F12:F13)</f>
        <v>0</v>
      </c>
      <c r="G14" s="595" t="n">
        <f aca="false">SUM(G12:G13)</f>
        <v>3484.30006534666</v>
      </c>
      <c r="H14" s="595" t="n">
        <f aca="false">SUM(H12:H13)</f>
        <v>9469.87800629031</v>
      </c>
      <c r="I14" s="595" t="n">
        <f aca="false">SUM(I12:I13)</f>
        <v>10114.6503933608</v>
      </c>
      <c r="J14" s="595" t="n">
        <f aca="false">SUM(J12:J13)</f>
        <v>13298.8427843065</v>
      </c>
      <c r="K14" s="595" t="n">
        <f aca="false">SUM(K12:K13)</f>
        <v>14132.6179565651</v>
      </c>
      <c r="L14" s="595" t="n">
        <f aca="false">SUM(L12:L13)</f>
        <v>14270.3168420179</v>
      </c>
      <c r="M14" s="595" t="n">
        <f aca="false">SUM(M12:M13)</f>
        <v>13949.4119946723</v>
      </c>
      <c r="N14" s="595" t="n">
        <f aca="false">SUM(N12:N13)</f>
        <v>11007.7716717286</v>
      </c>
      <c r="O14" s="595" t="n">
        <f aca="false">SUM(O12:O13)</f>
        <v>8399.78792304251</v>
      </c>
      <c r="P14" s="595" t="n">
        <f aca="false">SUM(P12:P13)</f>
        <v>7922.8887865556</v>
      </c>
      <c r="Q14" s="595" t="n">
        <f aca="false">SUM(Q12:Q13)</f>
        <v>8455.92252712535</v>
      </c>
      <c r="R14" s="595" t="n">
        <f aca="false">SUM(R12:R13)</f>
        <v>8822.12798056631</v>
      </c>
      <c r="S14" s="595" t="n">
        <f aca="false">SUM(S12:S13)</f>
        <v>8122.79112790767</v>
      </c>
      <c r="T14" s="595" t="n">
        <f aca="false">SUM(T12:T13)</f>
        <v>7651.25868360767</v>
      </c>
      <c r="U14" s="595" t="n">
        <f aca="false">SUM(U12:U13)</f>
        <v>5080.13430968427</v>
      </c>
      <c r="V14" s="595" t="n">
        <f aca="false">SUM(V12:V13)</f>
        <v>0</v>
      </c>
      <c r="W14" s="595" t="n">
        <f aca="false">SUM(W12:W13)</f>
        <v>0</v>
      </c>
      <c r="X14" s="595" t="n">
        <f aca="false">SUM(X12:X13)</f>
        <v>0</v>
      </c>
      <c r="Y14" s="595" t="n">
        <f aca="false">SUM(Y12:Y13)</f>
        <v>0</v>
      </c>
      <c r="Z14" s="39"/>
      <c r="AA14" s="39"/>
      <c r="AB14" s="39"/>
      <c r="AC14" s="39"/>
      <c r="AD14" s="561" t="n">
        <f aca="false">SUM(E14:Y14)</f>
        <v>144182.701052778</v>
      </c>
      <c r="AE14" s="794" t="n">
        <f aca="false">AE13+1</f>
        <v>8</v>
      </c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82"/>
      <c r="B15" s="66"/>
      <c r="C15" s="66"/>
      <c r="D15" s="799"/>
      <c r="E15" s="799"/>
      <c r="F15" s="799"/>
      <c r="G15" s="799"/>
      <c r="H15" s="799"/>
      <c r="I15" s="799"/>
      <c r="J15" s="799"/>
      <c r="K15" s="799"/>
      <c r="L15" s="799"/>
      <c r="M15" s="799"/>
      <c r="N15" s="799"/>
      <c r="O15" s="799"/>
      <c r="P15" s="799"/>
      <c r="Q15" s="799"/>
      <c r="R15" s="799"/>
      <c r="S15" s="799"/>
      <c r="T15" s="799"/>
      <c r="U15" s="799"/>
      <c r="V15" s="799"/>
      <c r="W15" s="799"/>
      <c r="X15" s="799"/>
      <c r="Y15" s="799"/>
      <c r="Z15" s="39"/>
      <c r="AA15" s="39"/>
      <c r="AB15" s="39"/>
      <c r="AC15" s="39"/>
      <c r="AD15" s="800"/>
      <c r="AE15" s="794" t="n">
        <f aca="false">AE14+1</f>
        <v>9</v>
      </c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12.75" hidden="false" customHeight="false" outlineLevel="0" collapsed="false">
      <c r="A16" s="801" t="s">
        <v>722</v>
      </c>
      <c r="B16" s="802"/>
      <c r="C16" s="802"/>
      <c r="D16" s="803"/>
      <c r="E16" s="804" t="n">
        <f aca="false">SUM($E13:E13)</f>
        <v>0</v>
      </c>
      <c r="F16" s="804" t="n">
        <f aca="false">SUM($E13:F13)</f>
        <v>0</v>
      </c>
      <c r="G16" s="804" t="n">
        <f aca="false">SUM($E13:G13)</f>
        <v>0</v>
      </c>
      <c r="H16" s="804" t="n">
        <f aca="false">SUM($E13:H13)</f>
        <v>1138.91356350354</v>
      </c>
      <c r="I16" s="804" t="n">
        <f aca="false">SUM($E13:I13)</f>
        <v>3069.8271200673</v>
      </c>
      <c r="J16" s="804" t="n">
        <f aca="false">SUM($E13:J13)</f>
        <v>8493.74160479697</v>
      </c>
      <c r="K16" s="804" t="n">
        <f aca="false">SUM($E13:K13)</f>
        <v>15379.4733620211</v>
      </c>
      <c r="L16" s="804" t="n">
        <f aca="false">SUM($E13:L13)</f>
        <v>23180.2194928191</v>
      </c>
      <c r="M16" s="804" t="n">
        <f aca="false">SUM($E13:M13)</f>
        <v>31550.4766445137</v>
      </c>
      <c r="N16" s="804" t="n">
        <f aca="false">SUM($E13:N13)</f>
        <v>37900.868042095</v>
      </c>
      <c r="O16" s="804" t="n">
        <f aca="false">SUM($E13:O13)</f>
        <v>42231.393685563</v>
      </c>
      <c r="P16" s="804" t="n">
        <f aca="false">SUM($E13:P13)</f>
        <v>46561.919329031</v>
      </c>
      <c r="Q16" s="804" t="n">
        <f aca="false">SUM($E13:Q13)</f>
        <v>51902.3778495556</v>
      </c>
      <c r="R16" s="804" t="n">
        <f aca="false">SUM($E13:R13)</f>
        <v>58252.7692471369</v>
      </c>
      <c r="S16" s="804" t="n">
        <f aca="false">SUM($E13:S13)</f>
        <v>64603.1606447182</v>
      </c>
      <c r="T16" s="804" t="n">
        <f aca="false">SUM($E13:T13)</f>
        <v>71181.3564506581</v>
      </c>
      <c r="U16" s="804" t="n">
        <f aca="false">SUM($E13:U13)</f>
        <v>75934.8027862155</v>
      </c>
      <c r="V16" s="804" t="n">
        <f aca="false">SUM($E13:V13)</f>
        <v>75934.8027862155</v>
      </c>
      <c r="W16" s="804" t="n">
        <f aca="false">SUM($E13:W13)</f>
        <v>75934.8027862155</v>
      </c>
      <c r="X16" s="804" t="n">
        <f aca="false">SUM($E13:X13)</f>
        <v>75934.8027862155</v>
      </c>
      <c r="Y16" s="804" t="n">
        <f aca="false">SUM($E13:Y13)</f>
        <v>75934.8027862155</v>
      </c>
      <c r="Z16" s="39"/>
      <c r="AA16" s="39"/>
      <c r="AB16" s="39"/>
      <c r="AC16" s="39"/>
      <c r="AD16" s="800"/>
      <c r="AE16" s="794" t="n">
        <f aca="false">AE15+1</f>
        <v>10</v>
      </c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801" t="s">
        <v>723</v>
      </c>
      <c r="B17" s="805"/>
      <c r="C17" s="805"/>
      <c r="D17" s="806"/>
      <c r="E17" s="804" t="n">
        <f aca="false">Assm!$U$82/12*E$14</f>
        <v>0</v>
      </c>
      <c r="F17" s="804" t="n">
        <f aca="false">Assm!$U$82/12*F$14</f>
        <v>0</v>
      </c>
      <c r="G17" s="804" t="n">
        <f aca="false">Assm!$U$82/12*G$14</f>
        <v>1742.15003267333</v>
      </c>
      <c r="H17" s="804" t="n">
        <f aca="false">Assm!$U$82/12*H$14</f>
        <v>4734.93900314515</v>
      </c>
      <c r="I17" s="804" t="n">
        <f aca="false">Assm!$U$82/12*I$14</f>
        <v>5057.32519668038</v>
      </c>
      <c r="J17" s="804" t="n">
        <f aca="false">Assm!$U$82/12*J$14</f>
        <v>6649.42139215326</v>
      </c>
      <c r="K17" s="804" t="n">
        <f aca="false">Assm!$U$82/12*K$14</f>
        <v>7066.30897828257</v>
      </c>
      <c r="L17" s="804" t="n">
        <f aca="false">Assm!$U$82/12*L$14</f>
        <v>7135.15842100897</v>
      </c>
      <c r="M17" s="804" t="n">
        <f aca="false">Assm!$U$82/12*M$14</f>
        <v>6974.70599733616</v>
      </c>
      <c r="N17" s="804" t="n">
        <f aca="false">Assm!$U$82/12*N$14</f>
        <v>5503.88583586431</v>
      </c>
      <c r="O17" s="804" t="n">
        <f aca="false">Assm!$U$82/12*O$14</f>
        <v>4199.89396152125</v>
      </c>
      <c r="P17" s="804" t="n">
        <f aca="false">Assm!$U$82/12*P$14</f>
        <v>3961.4443932778</v>
      </c>
      <c r="Q17" s="804" t="n">
        <f aca="false">Assm!$U$82/12*Q$14</f>
        <v>4227.96126356268</v>
      </c>
      <c r="R17" s="804" t="n">
        <f aca="false">Assm!$U$82/12*R$14</f>
        <v>4411.06399028315</v>
      </c>
      <c r="S17" s="804" t="n">
        <f aca="false">Assm!$U$82/12*S$14</f>
        <v>4061.39556395383</v>
      </c>
      <c r="T17" s="804" t="n">
        <f aca="false">Assm!$U$82/12*T$14</f>
        <v>3825.62934180384</v>
      </c>
      <c r="U17" s="804" t="n">
        <f aca="false">Assm!$U$82/12*U$14</f>
        <v>2540.06715484213</v>
      </c>
      <c r="V17" s="804" t="n">
        <f aca="false">Assm!$U$82/12*V$14</f>
        <v>0</v>
      </c>
      <c r="W17" s="804" t="n">
        <f aca="false">Assm!$U$82/12*W$14</f>
        <v>0</v>
      </c>
      <c r="X17" s="804" t="n">
        <f aca="false">Assm!$U$82/12*X$14</f>
        <v>0</v>
      </c>
      <c r="Y17" s="804" t="n">
        <f aca="false">Assm!$U$82/12*Y$14</f>
        <v>0</v>
      </c>
      <c r="Z17" s="39"/>
      <c r="AA17" s="39"/>
      <c r="AB17" s="39"/>
      <c r="AC17" s="39"/>
      <c r="AD17" s="807"/>
      <c r="AE17" s="794" t="n">
        <f aca="false">AE16+1</f>
        <v>11</v>
      </c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801"/>
      <c r="B18" s="805"/>
      <c r="C18" s="805"/>
      <c r="D18" s="806"/>
      <c r="E18" s="804"/>
      <c r="F18" s="804"/>
      <c r="G18" s="804"/>
      <c r="H18" s="804"/>
      <c r="I18" s="804"/>
      <c r="J18" s="804"/>
      <c r="K18" s="804"/>
      <c r="L18" s="804"/>
      <c r="M18" s="804"/>
      <c r="N18" s="804"/>
      <c r="O18" s="804"/>
      <c r="P18" s="804"/>
      <c r="Q18" s="804"/>
      <c r="R18" s="804"/>
      <c r="S18" s="804"/>
      <c r="T18" s="804"/>
      <c r="U18" s="804"/>
      <c r="V18" s="804"/>
      <c r="W18" s="804"/>
      <c r="X18" s="804"/>
      <c r="Y18" s="804"/>
      <c r="Z18" s="39"/>
      <c r="AA18" s="39"/>
      <c r="AB18" s="39"/>
      <c r="AC18" s="39"/>
      <c r="AD18" s="807"/>
      <c r="AE18" s="794" t="n">
        <f aca="false">AE17+1</f>
        <v>12</v>
      </c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303" t="s">
        <v>268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298"/>
      <c r="AE19" s="794" t="n">
        <f aca="false">AE18+1</f>
        <v>13</v>
      </c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12.75" hidden="false" customHeight="false" outlineLevel="0" collapsed="false">
      <c r="A20" s="138" t="s">
        <v>719</v>
      </c>
      <c r="B20" s="39"/>
      <c r="C20" s="39"/>
      <c r="D20" s="315"/>
      <c r="E20" s="61" t="n">
        <f aca="false">IF(E$7&lt;YEAR(Startops2),0,VLOOKUP(E$10,Fin_Table,$AC$79))</f>
        <v>0</v>
      </c>
      <c r="F20" s="61" t="n">
        <f aca="false">IF(F$7&lt;YEAR(Startops2),0,VLOOKUP(F$10,Fin_Table,$AC$79))</f>
        <v>0</v>
      </c>
      <c r="G20" s="61" t="n">
        <f aca="false">IF(G$7&lt;YEAR(Startops2),0,VLOOKUP(G$10,Fin_Table,$AC$79))</f>
        <v>1164.18732247162</v>
      </c>
      <c r="H20" s="61" t="n">
        <f aca="false">IF(H$7&lt;YEAR(Startops2),0,VLOOKUP(H$10,Fin_Table,$AC$79))</f>
        <v>2763.74642383806</v>
      </c>
      <c r="I20" s="61" t="n">
        <f aca="false">IF(I$7&lt;YEAR(Startops2),0,VLOOKUP(I$10,Fin_Table,$AC$79))</f>
        <v>2634.52697362921</v>
      </c>
      <c r="J20" s="61" t="n">
        <f aca="false">IF(J$7&lt;YEAR(Startops2),0,VLOOKUP(J$10,Fin_Table,$AC$79))</f>
        <v>2487.96304271607</v>
      </c>
      <c r="K20" s="61" t="n">
        <f aca="false">IF(K$7&lt;YEAR(Startops2),0,VLOOKUP(K$10,Fin_Table,$AC$79))</f>
        <v>2321.72656817612</v>
      </c>
      <c r="L20" s="61" t="n">
        <f aca="false">IF(L$7&lt;YEAR(Startops2),0,VLOOKUP(L$10,Fin_Table,$AC$79))</f>
        <v>2133.17700284105</v>
      </c>
      <c r="M20" s="61" t="n">
        <f aca="false">IF(M$7&lt;YEAR(Startops2),0,VLOOKUP(M$10,Fin_Table,$AC$79))</f>
        <v>1919.31937209887</v>
      </c>
      <c r="N20" s="61" t="n">
        <f aca="false">IF(N$7&lt;YEAR(Startops2),0,VLOOKUP(N$10,Fin_Table,$AC$79))</f>
        <v>1676.75670087033</v>
      </c>
      <c r="O20" s="61" t="n">
        <f aca="false">IF(O$7&lt;YEAR(Startops2),0,VLOOKUP(O$10,Fin_Table,$AC$79))</f>
        <v>1401.63605509613</v>
      </c>
      <c r="P20" s="61" t="n">
        <f aca="false">IF(P$7&lt;YEAR(Startops2),0,VLOOKUP(P$10,Fin_Table,$AC$79))</f>
        <v>1089.5873406429</v>
      </c>
      <c r="Q20" s="61" t="n">
        <f aca="false">IF(Q$7&lt;YEAR(Startops2),0,VLOOKUP(Q$10,Fin_Table,$AC$79))</f>
        <v>735.653887492177</v>
      </c>
      <c r="R20" s="61" t="n">
        <f aca="false">IF(R$7&lt;YEAR(Startops2),0,VLOOKUP(R$10,Fin_Table,$AC$79))</f>
        <v>334.2137165923</v>
      </c>
      <c r="S20" s="61" t="n">
        <f aca="false">IF(S$7&lt;YEAR(Startops2),0,VLOOKUP(S$10,Fin_Table,$AC$79))</f>
        <v>0</v>
      </c>
      <c r="T20" s="61" t="n">
        <f aca="false">IF(T$7&lt;YEAR(Startops2),0,VLOOKUP(T$10,Fin_Table,$AC$79))</f>
        <v>0</v>
      </c>
      <c r="U20" s="61" t="n">
        <f aca="false">IF(U$7&lt;YEAR(Startops2),0,VLOOKUP(U$10,Fin_Table,$AC$79))</f>
        <v>0</v>
      </c>
      <c r="V20" s="61" t="n">
        <f aca="false">IF(V$7&lt;YEAR(Startops2),0,VLOOKUP(V$10,Fin_Table,$AC$79))</f>
        <v>0</v>
      </c>
      <c r="W20" s="61" t="n">
        <f aca="false">IF(W$7&lt;YEAR(Startops2),0,VLOOKUP(W$10,Fin_Table,$AC$79))</f>
        <v>0</v>
      </c>
      <c r="X20" s="61" t="n">
        <f aca="false">IF(X$7&lt;YEAR(Startops2),0,VLOOKUP(X$10,Fin_Table,$AC$79))</f>
        <v>0</v>
      </c>
      <c r="Y20" s="61" t="n">
        <f aca="false">IF(Y$7&lt;YEAR(Startops2),0,VLOOKUP(Y$10,Fin_Table,$AC$79))</f>
        <v>0</v>
      </c>
      <c r="Z20" s="39"/>
      <c r="AA20" s="39"/>
      <c r="AB20" s="39"/>
      <c r="AC20" s="39"/>
      <c r="AD20" s="304" t="n">
        <f aca="false">SUM(E20:Y20)</f>
        <v>20662.4944064648</v>
      </c>
      <c r="AE20" s="794" t="n">
        <f aca="false">AE19+1</f>
        <v>14</v>
      </c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.75" hidden="false" customHeight="false" outlineLevel="0" collapsed="false">
      <c r="A21" s="138" t="s">
        <v>720</v>
      </c>
      <c r="B21" s="39"/>
      <c r="C21" s="39"/>
      <c r="D21" s="459"/>
      <c r="E21" s="306" t="n">
        <f aca="false">IF(E$7&lt;YEAR(Startops2),0,VLOOKUP(E$10,Fin_Table,$AD$79))</f>
        <v>0</v>
      </c>
      <c r="F21" s="306" t="n">
        <f aca="false">IF(F$7&lt;YEAR(Startops2),0,VLOOKUP(F$10,Fin_Table,$AD$79))</f>
        <v>0</v>
      </c>
      <c r="G21" s="306" t="n">
        <f aca="false">IF(G$7&lt;YEAR(Startops2),0,VLOOKUP(G$10,Fin_Table,$AD$79))</f>
        <v>0</v>
      </c>
      <c r="H21" s="306" t="n">
        <f aca="false">IF(H$7&lt;YEAR(Startops2),0,VLOOKUP(H$10,Fin_Table,$AD$79))</f>
        <v>962.707768365441</v>
      </c>
      <c r="I21" s="306" t="n">
        <f aca="false">IF(I$7&lt;YEAR(Startops2),0,VLOOKUP(I$10,Fin_Table,$AD$79))</f>
        <v>1091.92721857429</v>
      </c>
      <c r="J21" s="306" t="n">
        <f aca="false">IF(J$7&lt;YEAR(Startops2),0,VLOOKUP(J$10,Fin_Table,$AD$79))</f>
        <v>1238.49114948743</v>
      </c>
      <c r="K21" s="306" t="n">
        <f aca="false">IF(K$7&lt;YEAR(Startops2),0,VLOOKUP(K$10,Fin_Table,$AD$79))</f>
        <v>1404.72762402738</v>
      </c>
      <c r="L21" s="306" t="n">
        <f aca="false">IF(L$7&lt;YEAR(Startops2),0,VLOOKUP(L$10,Fin_Table,$AD$79))</f>
        <v>1593.27718936245</v>
      </c>
      <c r="M21" s="306" t="n">
        <f aca="false">IF(M$7&lt;YEAR(Startops2),0,VLOOKUP(M$10,Fin_Table,$AD$79))</f>
        <v>1807.13482010463</v>
      </c>
      <c r="N21" s="306" t="n">
        <f aca="false">IF(N$7&lt;YEAR(Startops2),0,VLOOKUP(N$10,Fin_Table,$AD$79))</f>
        <v>2049.69749133317</v>
      </c>
      <c r="O21" s="306" t="n">
        <f aca="false">IF(O$7&lt;YEAR(Startops2),0,VLOOKUP(O$10,Fin_Table,$AD$79))</f>
        <v>2324.81813710736</v>
      </c>
      <c r="P21" s="306" t="n">
        <f aca="false">IF(P$7&lt;YEAR(Startops2),0,VLOOKUP(P$10,Fin_Table,$AD$79))</f>
        <v>2636.8668515606</v>
      </c>
      <c r="Q21" s="306" t="n">
        <f aca="false">IF(Q$7&lt;YEAR(Startops2),0,VLOOKUP(Q$10,Fin_Table,$AD$79))</f>
        <v>2990.80030471132</v>
      </c>
      <c r="R21" s="306" t="n">
        <f aca="false">IF(R$7&lt;YEAR(Startops2),0,VLOOKUP(R$10,Fin_Table,$AD$79))</f>
        <v>3392.2404756112</v>
      </c>
      <c r="S21" s="306" t="n">
        <f aca="false">IF(S$7&lt;YEAR(Startops2),0,VLOOKUP(S$10,Fin_Table,$AD$79))</f>
        <v>0</v>
      </c>
      <c r="T21" s="306" t="n">
        <f aca="false">IF(T$7&lt;YEAR(Startops2),0,VLOOKUP(T$10,Fin_Table,$AD$79))</f>
        <v>0</v>
      </c>
      <c r="U21" s="306" t="n">
        <f aca="false">IF(U$7&lt;YEAR(Startops2),0,VLOOKUP(U$10,Fin_Table,$AD$79))</f>
        <v>0</v>
      </c>
      <c r="V21" s="306" t="n">
        <f aca="false">IF(V$7&lt;YEAR(Startops2),0,VLOOKUP(V$10,Fin_Table,$AD$79))</f>
        <v>0</v>
      </c>
      <c r="W21" s="306" t="n">
        <f aca="false">IF(W$7&lt;YEAR(Startops2),0,VLOOKUP(W$10,Fin_Table,$AD$79))</f>
        <v>0</v>
      </c>
      <c r="X21" s="306" t="n">
        <f aca="false">IF(X$7&lt;YEAR(Startops2),0,VLOOKUP(X$10,Fin_Table,$AD$79))</f>
        <v>0</v>
      </c>
      <c r="Y21" s="306" t="n">
        <f aca="false">IF(Y$7&lt;YEAR(Startops2),0,VLOOKUP(Y$10,Fin_Table,$AD$79))</f>
        <v>0</v>
      </c>
      <c r="Z21" s="39"/>
      <c r="AA21" s="39"/>
      <c r="AB21" s="39"/>
      <c r="AC21" s="39"/>
      <c r="AD21" s="307" t="n">
        <f aca="false">SUM(E21:Y21)</f>
        <v>21492.6890302453</v>
      </c>
      <c r="AE21" s="794" t="n">
        <f aca="false">AE20+1</f>
        <v>15</v>
      </c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2.75" hidden="false" customHeight="false" outlineLevel="0" collapsed="false">
      <c r="A22" s="82" t="s">
        <v>724</v>
      </c>
      <c r="B22" s="66"/>
      <c r="C22" s="66"/>
      <c r="D22" s="799"/>
      <c r="E22" s="595" t="n">
        <f aca="false">SUM(E20:E21)</f>
        <v>0</v>
      </c>
      <c r="F22" s="595" t="n">
        <f aca="false">SUM(F20:F21)</f>
        <v>0</v>
      </c>
      <c r="G22" s="595" t="n">
        <f aca="false">SUM(G20:G21)</f>
        <v>1164.18732247162</v>
      </c>
      <c r="H22" s="595" t="n">
        <f aca="false">SUM(H20:H21)</f>
        <v>3726.4541922035</v>
      </c>
      <c r="I22" s="595" t="n">
        <f aca="false">SUM(I20:I21)</f>
        <v>3726.4541922035</v>
      </c>
      <c r="J22" s="595" t="n">
        <f aca="false">SUM(J20:J21)</f>
        <v>3726.4541922035</v>
      </c>
      <c r="K22" s="595" t="n">
        <f aca="false">SUM(K20:K21)</f>
        <v>3726.4541922035</v>
      </c>
      <c r="L22" s="595" t="n">
        <f aca="false">SUM(L20:L21)</f>
        <v>3726.4541922035</v>
      </c>
      <c r="M22" s="595" t="n">
        <f aca="false">SUM(M20:M21)</f>
        <v>3726.4541922035</v>
      </c>
      <c r="N22" s="595" t="n">
        <f aca="false">SUM(N20:N21)</f>
        <v>3726.4541922035</v>
      </c>
      <c r="O22" s="595" t="n">
        <f aca="false">SUM(O20:O21)</f>
        <v>3726.4541922035</v>
      </c>
      <c r="P22" s="595" t="n">
        <f aca="false">SUM(P20:P21)</f>
        <v>3726.4541922035</v>
      </c>
      <c r="Q22" s="595" t="n">
        <f aca="false">SUM(Q20:Q21)</f>
        <v>3726.4541922035</v>
      </c>
      <c r="R22" s="595" t="n">
        <f aca="false">SUM(R20:R21)</f>
        <v>3726.4541922035</v>
      </c>
      <c r="S22" s="595" t="n">
        <f aca="false">SUM(S20:S21)</f>
        <v>0</v>
      </c>
      <c r="T22" s="595" t="n">
        <f aca="false">SUM(T20:T21)</f>
        <v>0</v>
      </c>
      <c r="U22" s="595" t="n">
        <f aca="false">SUM(U20:U21)</f>
        <v>0</v>
      </c>
      <c r="V22" s="595" t="n">
        <f aca="false">SUM(V20:V21)</f>
        <v>0</v>
      </c>
      <c r="W22" s="595" t="n">
        <f aca="false">SUM(W20:W21)</f>
        <v>0</v>
      </c>
      <c r="X22" s="595" t="n">
        <f aca="false">SUM(X20:X21)</f>
        <v>0</v>
      </c>
      <c r="Y22" s="595" t="n">
        <f aca="false">SUM(Y20:Y21)</f>
        <v>0</v>
      </c>
      <c r="Z22" s="39"/>
      <c r="AA22" s="39"/>
      <c r="AB22" s="39"/>
      <c r="AC22" s="39"/>
      <c r="AD22" s="561" t="n">
        <f aca="false">SUM(E22:Y22)</f>
        <v>42155.1834367101</v>
      </c>
      <c r="AE22" s="794" t="n">
        <f aca="false">AE21+1</f>
        <v>16</v>
      </c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12.75" hidden="false" customHeight="false" outlineLevel="0" collapsed="false">
      <c r="A23" s="808"/>
      <c r="B23" s="809"/>
      <c r="C23" s="809"/>
      <c r="D23" s="810"/>
      <c r="E23" s="811"/>
      <c r="F23" s="811"/>
      <c r="G23" s="811"/>
      <c r="H23" s="811"/>
      <c r="I23" s="811"/>
      <c r="J23" s="811"/>
      <c r="K23" s="811"/>
      <c r="L23" s="811"/>
      <c r="M23" s="811"/>
      <c r="N23" s="811"/>
      <c r="O23" s="811"/>
      <c r="P23" s="811"/>
      <c r="Q23" s="811"/>
      <c r="R23" s="811"/>
      <c r="S23" s="811"/>
      <c r="T23" s="811"/>
      <c r="U23" s="811"/>
      <c r="V23" s="811"/>
      <c r="W23" s="811"/>
      <c r="X23" s="811"/>
      <c r="Y23" s="811"/>
      <c r="Z23" s="812"/>
      <c r="AA23" s="812"/>
      <c r="AB23" s="812"/>
      <c r="AC23" s="812"/>
      <c r="AD23" s="813"/>
      <c r="AE23" s="814"/>
      <c r="AF23" s="812"/>
      <c r="AG23" s="812"/>
      <c r="AH23" s="812"/>
      <c r="AI23" s="812"/>
      <c r="AJ23" s="812"/>
      <c r="AK23" s="812"/>
      <c r="AL23" s="812"/>
      <c r="AM23" s="812"/>
      <c r="AN23" s="812"/>
      <c r="AO23" s="812"/>
      <c r="AP23" s="812"/>
      <c r="AQ23" s="812"/>
      <c r="AR23" s="812"/>
      <c r="AS23" s="812"/>
      <c r="AT23" s="812"/>
      <c r="AU23" s="812"/>
      <c r="AV23" s="812"/>
      <c r="AW23" s="812"/>
      <c r="AX23" s="812"/>
      <c r="AY23" s="812"/>
      <c r="AZ23" s="812"/>
      <c r="BA23" s="812"/>
      <c r="BB23" s="812"/>
      <c r="BC23" s="812"/>
      <c r="BD23" s="812"/>
      <c r="BE23" s="812"/>
      <c r="BF23" s="812"/>
      <c r="BG23" s="812"/>
      <c r="BH23" s="812"/>
      <c r="BI23" s="812"/>
      <c r="BJ23" s="812"/>
      <c r="BK23" s="812"/>
      <c r="BL23" s="812"/>
      <c r="BM23" s="812"/>
      <c r="BN23" s="812"/>
      <c r="BO23" s="812"/>
      <c r="BP23" s="812"/>
      <c r="BQ23" s="812"/>
      <c r="BR23" s="812"/>
      <c r="BS23" s="812"/>
      <c r="BT23" s="812"/>
      <c r="BU23" s="812"/>
      <c r="BV23" s="812"/>
      <c r="BW23" s="812"/>
      <c r="BX23" s="812"/>
      <c r="BY23" s="812"/>
      <c r="BZ23" s="812"/>
      <c r="CA23" s="812"/>
      <c r="CB23" s="812"/>
      <c r="CC23" s="812"/>
      <c r="CD23" s="812"/>
      <c r="CE23" s="812"/>
      <c r="CF23" s="812"/>
      <c r="CG23" s="812"/>
      <c r="CH23" s="812"/>
      <c r="CI23" s="812"/>
      <c r="CJ23" s="812"/>
      <c r="CK23" s="812"/>
      <c r="CL23" s="812"/>
      <c r="CM23" s="812"/>
      <c r="CN23" s="812"/>
      <c r="CO23" s="812"/>
      <c r="CP23" s="812"/>
      <c r="CQ23" s="812"/>
      <c r="CR23" s="812"/>
      <c r="CS23" s="812"/>
      <c r="CT23" s="812"/>
      <c r="CU23" s="812"/>
      <c r="CV23" s="812"/>
      <c r="CW23" s="812"/>
      <c r="CX23" s="812"/>
      <c r="CY23" s="812"/>
      <c r="CZ23" s="812"/>
      <c r="DA23" s="812"/>
      <c r="DB23" s="812"/>
      <c r="DC23" s="812"/>
      <c r="DD23" s="812"/>
      <c r="DE23" s="812"/>
      <c r="DF23" s="812"/>
      <c r="DG23" s="812"/>
      <c r="DH23" s="812"/>
      <c r="DI23" s="812"/>
      <c r="DJ23" s="812"/>
      <c r="DK23" s="812"/>
      <c r="DL23" s="812"/>
      <c r="DM23" s="812"/>
      <c r="DN23" s="812"/>
      <c r="DO23" s="812"/>
      <c r="DP23" s="812"/>
      <c r="DQ23" s="812"/>
      <c r="DR23" s="812"/>
      <c r="DS23" s="812"/>
      <c r="DT23" s="812"/>
      <c r="DU23" s="812"/>
      <c r="DV23" s="812"/>
      <c r="DW23" s="812"/>
      <c r="DX23" s="812"/>
      <c r="DY23" s="812"/>
      <c r="DZ23" s="812"/>
      <c r="EA23" s="812"/>
      <c r="EB23" s="812"/>
      <c r="EC23" s="812"/>
      <c r="ED23" s="812"/>
      <c r="EE23" s="812"/>
      <c r="EF23" s="812"/>
      <c r="EG23" s="812"/>
      <c r="EH23" s="812"/>
      <c r="EI23" s="812"/>
      <c r="EJ23" s="812"/>
      <c r="EK23" s="812"/>
      <c r="EL23" s="812"/>
      <c r="EM23" s="812"/>
      <c r="EN23" s="812"/>
      <c r="EO23" s="812"/>
      <c r="EP23" s="812"/>
      <c r="EQ23" s="812"/>
      <c r="ER23" s="812"/>
      <c r="ES23" s="812"/>
      <c r="ET23" s="812"/>
      <c r="EU23" s="812"/>
      <c r="EV23" s="812"/>
      <c r="EW23" s="812"/>
      <c r="EX23" s="812"/>
      <c r="EY23" s="812"/>
      <c r="EZ23" s="812"/>
      <c r="FA23" s="812"/>
      <c r="FB23" s="812"/>
      <c r="FC23" s="812"/>
      <c r="FD23" s="812"/>
      <c r="FE23" s="812"/>
      <c r="FF23" s="812"/>
      <c r="FG23" s="812"/>
      <c r="FH23" s="812"/>
      <c r="FI23" s="812"/>
      <c r="FJ23" s="812"/>
      <c r="FK23" s="812"/>
      <c r="FL23" s="812"/>
      <c r="FM23" s="812"/>
      <c r="FN23" s="812"/>
      <c r="FO23" s="812"/>
      <c r="FP23" s="812"/>
      <c r="FQ23" s="812"/>
      <c r="FR23" s="812"/>
      <c r="FS23" s="812"/>
      <c r="FT23" s="812"/>
      <c r="FU23" s="812"/>
      <c r="FV23" s="812"/>
      <c r="FW23" s="812"/>
      <c r="FX23" s="812"/>
      <c r="FY23" s="812"/>
      <c r="FZ23" s="812"/>
      <c r="GA23" s="812"/>
      <c r="GB23" s="812"/>
      <c r="GC23" s="812"/>
      <c r="GD23" s="812"/>
      <c r="GE23" s="812"/>
      <c r="GF23" s="812"/>
      <c r="GG23" s="812"/>
      <c r="GH23" s="812"/>
      <c r="GI23" s="812"/>
      <c r="GJ23" s="812"/>
      <c r="GK23" s="812"/>
      <c r="GL23" s="812"/>
      <c r="GM23" s="812"/>
      <c r="GN23" s="812"/>
      <c r="GO23" s="812"/>
      <c r="GP23" s="812"/>
      <c r="GQ23" s="812"/>
      <c r="GR23" s="812"/>
      <c r="GS23" s="812"/>
      <c r="GT23" s="812"/>
      <c r="GU23" s="812"/>
      <c r="GV23" s="812"/>
      <c r="GW23" s="812"/>
      <c r="GX23" s="812"/>
      <c r="GY23" s="812"/>
      <c r="GZ23" s="812"/>
      <c r="HA23" s="812"/>
      <c r="HB23" s="812"/>
      <c r="HC23" s="812"/>
      <c r="HD23" s="812"/>
      <c r="HE23" s="812"/>
      <c r="HF23" s="812"/>
      <c r="HG23" s="812"/>
      <c r="HH23" s="812"/>
      <c r="HI23" s="812"/>
      <c r="HJ23" s="812"/>
      <c r="HK23" s="812"/>
      <c r="HL23" s="812"/>
      <c r="HM23" s="812"/>
      <c r="HN23" s="812"/>
      <c r="HO23" s="812"/>
      <c r="HP23" s="812"/>
      <c r="HQ23" s="812"/>
      <c r="HR23" s="812"/>
      <c r="HS23" s="812"/>
      <c r="HT23" s="812"/>
      <c r="HU23" s="812"/>
      <c r="HV23" s="812"/>
      <c r="HW23" s="812"/>
      <c r="HX23" s="812"/>
      <c r="HY23" s="812"/>
      <c r="HZ23" s="812"/>
      <c r="IA23" s="812"/>
      <c r="IB23" s="812"/>
      <c r="IC23" s="812"/>
      <c r="ID23" s="812"/>
      <c r="IE23" s="812"/>
      <c r="IF23" s="812"/>
      <c r="IG23" s="812"/>
      <c r="IH23" s="812"/>
      <c r="II23" s="812"/>
      <c r="IJ23" s="812"/>
      <c r="IK23" s="812"/>
      <c r="IL23" s="812"/>
      <c r="IM23" s="812"/>
      <c r="IN23" s="812"/>
      <c r="IO23" s="812"/>
      <c r="IP23" s="812"/>
      <c r="IQ23" s="812"/>
      <c r="IR23" s="812"/>
      <c r="IS23" s="812"/>
      <c r="IT23" s="812"/>
      <c r="IU23" s="812"/>
      <c r="IV23" s="812"/>
      <c r="IW23" s="812"/>
    </row>
    <row r="24" customFormat="false" ht="12.75" hidden="false" customHeight="false" outlineLevel="0" collapsed="false">
      <c r="A24" s="808" t="s">
        <v>725</v>
      </c>
      <c r="B24" s="809"/>
      <c r="C24" s="809"/>
      <c r="D24" s="811"/>
      <c r="E24" s="815" t="n">
        <f aca="false">IF(E$7&lt;YEAR(Startops2),0,VLOOKUP(E$10,Guarantee_Fee_Table,$AE$79))</f>
        <v>0</v>
      </c>
      <c r="F24" s="815" t="n">
        <f aca="false">IF(F$7&lt;YEAR(Startops2),0,VLOOKUP(F$10,Guarantee_Fee_Table,$AE$79))</f>
        <v>0</v>
      </c>
      <c r="G24" s="815" t="n">
        <f aca="false">IF(G$7&lt;YEAR(Startops2),0,VLOOKUP(G$10,Guarantee_Fee_Table,$AE$79))</f>
        <v>1623.79153027435</v>
      </c>
      <c r="H24" s="815" t="n">
        <f aca="false">IF(H$7&lt;YEAR(Startops2),0,VLOOKUP(H$10,Guarantee_Fee_Table,$AE$79))</f>
        <v>3897.09967265843</v>
      </c>
      <c r="I24" s="815" t="n">
        <f aca="false">IF(I$7&lt;YEAR(Startops2),0,VLOOKUP(I$10,Guarantee_Fee_Table,$AE$79))</f>
        <v>3813.03481938367</v>
      </c>
      <c r="J24" s="815" t="n">
        <f aca="false">IF(J$7&lt;YEAR(Startops2),0,VLOOKUP(J$10,Guarantee_Fee_Table,$AE$79))</f>
        <v>0</v>
      </c>
      <c r="K24" s="815" t="n">
        <f aca="false">IF(K$7&lt;YEAR(Startops2),0,VLOOKUP(K$10,Guarantee_Fee_Table,$AE$79))</f>
        <v>0</v>
      </c>
      <c r="L24" s="815" t="n">
        <f aca="false">IF(L$7&lt;YEAR(Startops2),0,VLOOKUP(L$10,Guarantee_Fee_Table,$AE$79))</f>
        <v>0</v>
      </c>
      <c r="M24" s="815" t="n">
        <f aca="false">IF(M$7&lt;YEAR(Startops2),0,VLOOKUP(M$10,Guarantee_Fee_Table,$AE$79))</f>
        <v>0</v>
      </c>
      <c r="N24" s="815" t="n">
        <f aca="false">IF(N$7&lt;YEAR(Startops2),0,VLOOKUP(N$10,Guarantee_Fee_Table,$AE$79))</f>
        <v>0</v>
      </c>
      <c r="O24" s="815" t="n">
        <f aca="false">IF(O$7&lt;YEAR(Startops2),0,VLOOKUP(O$10,Guarantee_Fee_Table,$AE$79))</f>
        <v>0</v>
      </c>
      <c r="P24" s="815" t="n">
        <f aca="false">IF(P$7&lt;YEAR(Startops2),0,VLOOKUP(P$10,Guarantee_Fee_Table,$AE$79))</f>
        <v>0</v>
      </c>
      <c r="Q24" s="815" t="n">
        <f aca="false">IF(Q$7&lt;YEAR(Startops2),0,VLOOKUP(Q$10,Guarantee_Fee_Table,$AE$79))</f>
        <v>0</v>
      </c>
      <c r="R24" s="815" t="n">
        <f aca="false">IF(R$7&lt;YEAR(Startops2),0,VLOOKUP(R$10,Guarantee_Fee_Table,$AE$79))</f>
        <v>0</v>
      </c>
      <c r="S24" s="815" t="n">
        <f aca="false">IF(S$7&lt;YEAR(Startops2),0,VLOOKUP(S$10,Guarantee_Fee_Table,$AE$79))</f>
        <v>0</v>
      </c>
      <c r="T24" s="815" t="n">
        <f aca="false">IF(T$7&lt;YEAR(Startops2),0,VLOOKUP(T$10,Guarantee_Fee_Table,$AE$79))</f>
        <v>0</v>
      </c>
      <c r="U24" s="815" t="n">
        <f aca="false">IF(U$7&lt;YEAR(Startops2),0,VLOOKUP(U$10,Guarantee_Fee_Table,$AE$79))</f>
        <v>0</v>
      </c>
      <c r="V24" s="815" t="n">
        <f aca="false">IF(V$7&lt;YEAR(Startops2),0,VLOOKUP(V$10,Guarantee_Fee_Table,$AE$79))</f>
        <v>0</v>
      </c>
      <c r="W24" s="815" t="n">
        <f aca="false">IF(W$7&lt;YEAR(Startops2),0,VLOOKUP(W$10,Guarantee_Fee_Table,$AE$79))</f>
        <v>0</v>
      </c>
      <c r="X24" s="815" t="n">
        <f aca="false">IF(X$7&lt;YEAR(Startops2),0,VLOOKUP(X$10,Guarantee_Fee_Table,$AE$79))</f>
        <v>0</v>
      </c>
      <c r="Y24" s="815" t="n">
        <f aca="false">IF(Y$7&lt;YEAR(Startops2),0,VLOOKUP(Y$10,Guarantee_Fee_Table,$AE$79))</f>
        <v>0</v>
      </c>
      <c r="Z24" s="811"/>
      <c r="AA24" s="816"/>
      <c r="AB24" s="817"/>
      <c r="AC24" s="817"/>
      <c r="AD24" s="817"/>
      <c r="AE24" s="817"/>
      <c r="AF24" s="817"/>
      <c r="AG24" s="817"/>
      <c r="AH24" s="817"/>
      <c r="AI24" s="818"/>
      <c r="AJ24" s="817"/>
      <c r="AK24" s="819"/>
      <c r="AL24" s="819"/>
      <c r="AM24" s="819"/>
      <c r="AN24" s="819"/>
      <c r="AO24" s="819"/>
      <c r="AP24" s="819"/>
      <c r="AQ24" s="819"/>
      <c r="AR24" s="819"/>
      <c r="AS24" s="819"/>
      <c r="AT24" s="819"/>
      <c r="AU24" s="819"/>
      <c r="AV24" s="819"/>
      <c r="AW24" s="819"/>
      <c r="AX24" s="819"/>
      <c r="AY24" s="819"/>
      <c r="AZ24" s="819"/>
      <c r="BA24" s="819"/>
      <c r="BB24" s="819"/>
      <c r="BC24" s="819"/>
      <c r="BD24" s="819"/>
      <c r="BE24" s="819"/>
      <c r="BF24" s="819"/>
      <c r="BG24" s="819"/>
      <c r="BH24" s="819"/>
      <c r="BI24" s="819"/>
      <c r="BJ24" s="819"/>
      <c r="BK24" s="819"/>
      <c r="BL24" s="819"/>
      <c r="BM24" s="819"/>
      <c r="BN24" s="819"/>
      <c r="BO24" s="819"/>
      <c r="BP24" s="819"/>
      <c r="BQ24" s="819"/>
      <c r="BR24" s="819"/>
      <c r="BS24" s="819"/>
      <c r="BT24" s="819"/>
      <c r="BU24" s="819"/>
      <c r="BV24" s="819"/>
      <c r="BW24" s="819"/>
      <c r="BX24" s="819"/>
      <c r="BY24" s="819"/>
      <c r="BZ24" s="819"/>
      <c r="CA24" s="819"/>
      <c r="CB24" s="819"/>
      <c r="CC24" s="819"/>
      <c r="CD24" s="819"/>
      <c r="CE24" s="819"/>
      <c r="CF24" s="819"/>
      <c r="CG24" s="819"/>
      <c r="CH24" s="819"/>
      <c r="CI24" s="819"/>
      <c r="CJ24" s="819"/>
      <c r="CK24" s="819"/>
      <c r="CL24" s="819"/>
      <c r="CM24" s="819"/>
      <c r="CN24" s="819"/>
      <c r="CO24" s="819"/>
      <c r="CP24" s="819"/>
      <c r="CQ24" s="819"/>
      <c r="CR24" s="819"/>
      <c r="CS24" s="819"/>
      <c r="CT24" s="819"/>
      <c r="CU24" s="819"/>
      <c r="CV24" s="819"/>
      <c r="CW24" s="819"/>
      <c r="CX24" s="819"/>
      <c r="CY24" s="819"/>
      <c r="CZ24" s="819"/>
      <c r="DA24" s="819"/>
      <c r="DB24" s="819"/>
      <c r="DC24" s="819"/>
      <c r="DD24" s="819"/>
      <c r="DE24" s="819"/>
      <c r="DF24" s="819"/>
      <c r="DG24" s="819"/>
      <c r="DH24" s="819"/>
      <c r="DI24" s="819"/>
      <c r="DJ24" s="819"/>
      <c r="DK24" s="819"/>
      <c r="DL24" s="819"/>
      <c r="DM24" s="819"/>
      <c r="DN24" s="819"/>
      <c r="DO24" s="819"/>
      <c r="DP24" s="819"/>
      <c r="DQ24" s="819"/>
      <c r="DR24" s="819"/>
      <c r="DS24" s="819"/>
      <c r="DT24" s="819"/>
      <c r="DU24" s="819"/>
      <c r="DV24" s="819"/>
      <c r="DW24" s="819"/>
      <c r="DX24" s="819"/>
      <c r="DY24" s="819"/>
      <c r="DZ24" s="819"/>
      <c r="EA24" s="819"/>
      <c r="EB24" s="819"/>
      <c r="EC24" s="819"/>
      <c r="ED24" s="819"/>
      <c r="EE24" s="819"/>
      <c r="EF24" s="819"/>
      <c r="EG24" s="819"/>
      <c r="EH24" s="819"/>
      <c r="EI24" s="819"/>
      <c r="EJ24" s="819"/>
      <c r="EK24" s="819"/>
      <c r="EL24" s="819"/>
      <c r="EM24" s="819"/>
      <c r="EN24" s="819"/>
      <c r="EO24" s="819"/>
      <c r="EP24" s="819"/>
      <c r="EQ24" s="819"/>
      <c r="ER24" s="819"/>
      <c r="ES24" s="819"/>
      <c r="ET24" s="819"/>
      <c r="EU24" s="819"/>
      <c r="EV24" s="819"/>
      <c r="EW24" s="819"/>
      <c r="EX24" s="819"/>
      <c r="EY24" s="819"/>
      <c r="EZ24" s="819"/>
      <c r="FA24" s="819"/>
      <c r="FB24" s="819"/>
      <c r="FC24" s="819"/>
      <c r="FD24" s="819"/>
      <c r="FE24" s="819"/>
      <c r="FF24" s="819"/>
      <c r="FG24" s="819"/>
      <c r="FH24" s="819"/>
      <c r="FI24" s="819"/>
      <c r="FJ24" s="819"/>
      <c r="FK24" s="819"/>
      <c r="FL24" s="819"/>
      <c r="FM24" s="819"/>
      <c r="FN24" s="819"/>
      <c r="FO24" s="819"/>
      <c r="FP24" s="819"/>
      <c r="FQ24" s="819"/>
      <c r="FR24" s="819"/>
      <c r="FS24" s="819"/>
      <c r="FT24" s="819"/>
      <c r="FU24" s="819"/>
      <c r="FV24" s="819"/>
      <c r="FW24" s="819"/>
      <c r="FX24" s="819"/>
      <c r="FY24" s="819"/>
      <c r="FZ24" s="819"/>
      <c r="GA24" s="819"/>
      <c r="GB24" s="819"/>
      <c r="GC24" s="819"/>
      <c r="GD24" s="819"/>
      <c r="GE24" s="819"/>
      <c r="GF24" s="819"/>
      <c r="GG24" s="819"/>
      <c r="GH24" s="819"/>
      <c r="GI24" s="819"/>
      <c r="GJ24" s="819"/>
      <c r="GK24" s="819"/>
      <c r="GL24" s="819"/>
      <c r="GM24" s="819"/>
      <c r="GN24" s="819"/>
      <c r="GO24" s="819"/>
      <c r="GP24" s="819"/>
      <c r="GQ24" s="819"/>
      <c r="GR24" s="819"/>
      <c r="GS24" s="819"/>
      <c r="GT24" s="819"/>
      <c r="GU24" s="819"/>
      <c r="GV24" s="819"/>
      <c r="GW24" s="819"/>
      <c r="GX24" s="819"/>
      <c r="GY24" s="819"/>
      <c r="GZ24" s="819"/>
      <c r="HA24" s="819"/>
      <c r="HB24" s="819"/>
      <c r="HC24" s="819"/>
      <c r="HD24" s="819"/>
      <c r="HE24" s="819"/>
      <c r="HF24" s="819"/>
      <c r="HG24" s="819"/>
      <c r="HH24" s="819"/>
      <c r="HI24" s="819"/>
      <c r="HJ24" s="819"/>
      <c r="HK24" s="819"/>
      <c r="HL24" s="819"/>
      <c r="HM24" s="819"/>
      <c r="HN24" s="819"/>
      <c r="HO24" s="819"/>
      <c r="HP24" s="819"/>
      <c r="HQ24" s="819"/>
      <c r="HR24" s="819"/>
      <c r="HS24" s="819"/>
      <c r="HT24" s="819"/>
      <c r="HU24" s="819"/>
      <c r="HV24" s="819"/>
      <c r="HW24" s="819"/>
      <c r="HX24" s="819"/>
      <c r="HY24" s="819"/>
      <c r="HZ24" s="819"/>
      <c r="IA24" s="819"/>
      <c r="IB24" s="819"/>
      <c r="IC24" s="819"/>
      <c r="ID24" s="819"/>
      <c r="IE24" s="819"/>
      <c r="IF24" s="819"/>
      <c r="IG24" s="819"/>
      <c r="IH24" s="819"/>
      <c r="II24" s="819"/>
      <c r="IJ24" s="819"/>
      <c r="IK24" s="819"/>
      <c r="IL24" s="819"/>
      <c r="IM24" s="819"/>
      <c r="IN24" s="819"/>
      <c r="IO24" s="819"/>
      <c r="IP24" s="819"/>
      <c r="IQ24" s="819"/>
      <c r="IR24" s="819"/>
      <c r="IS24" s="819"/>
      <c r="IT24" s="819"/>
      <c r="IU24" s="819"/>
      <c r="IV24" s="819"/>
      <c r="IW24" s="819"/>
    </row>
    <row r="25" customFormat="false" ht="12.75" hidden="false" customHeight="false" outlineLevel="0" collapsed="false">
      <c r="A25" s="808"/>
      <c r="B25" s="809"/>
      <c r="C25" s="809"/>
      <c r="D25" s="810"/>
      <c r="E25" s="811"/>
      <c r="F25" s="811"/>
      <c r="G25" s="811"/>
      <c r="H25" s="811"/>
      <c r="I25" s="811"/>
      <c r="J25" s="811"/>
      <c r="K25" s="811"/>
      <c r="L25" s="811"/>
      <c r="M25" s="811"/>
      <c r="N25" s="811"/>
      <c r="O25" s="811"/>
      <c r="P25" s="811"/>
      <c r="Q25" s="811"/>
      <c r="R25" s="811"/>
      <c r="S25" s="811"/>
      <c r="T25" s="811"/>
      <c r="U25" s="811"/>
      <c r="V25" s="811"/>
      <c r="W25" s="811"/>
      <c r="X25" s="811"/>
      <c r="Y25" s="811"/>
      <c r="Z25" s="812"/>
      <c r="AA25" s="812"/>
      <c r="AB25" s="812"/>
      <c r="AC25" s="812"/>
      <c r="AD25" s="813"/>
      <c r="AE25" s="814"/>
      <c r="AF25" s="812"/>
      <c r="AG25" s="812"/>
      <c r="AH25" s="812"/>
      <c r="AI25" s="812"/>
      <c r="AJ25" s="812"/>
      <c r="AK25" s="812"/>
      <c r="AL25" s="812"/>
      <c r="AM25" s="812"/>
      <c r="AN25" s="812"/>
      <c r="AO25" s="812"/>
      <c r="AP25" s="812"/>
      <c r="AQ25" s="812"/>
      <c r="AR25" s="812"/>
      <c r="AS25" s="812"/>
      <c r="AT25" s="812"/>
      <c r="AU25" s="812"/>
      <c r="AV25" s="812"/>
      <c r="AW25" s="812"/>
      <c r="AX25" s="812"/>
      <c r="AY25" s="812"/>
      <c r="AZ25" s="812"/>
      <c r="BA25" s="812"/>
      <c r="BB25" s="812"/>
      <c r="BC25" s="812"/>
      <c r="BD25" s="812"/>
      <c r="BE25" s="812"/>
      <c r="BF25" s="812"/>
      <c r="BG25" s="812"/>
      <c r="BH25" s="812"/>
      <c r="BI25" s="812"/>
      <c r="BJ25" s="812"/>
      <c r="BK25" s="812"/>
      <c r="BL25" s="812"/>
      <c r="BM25" s="812"/>
      <c r="BN25" s="812"/>
      <c r="BO25" s="812"/>
      <c r="BP25" s="812"/>
      <c r="BQ25" s="812"/>
      <c r="BR25" s="812"/>
      <c r="BS25" s="812"/>
      <c r="BT25" s="812"/>
      <c r="BU25" s="812"/>
      <c r="BV25" s="812"/>
      <c r="BW25" s="812"/>
      <c r="BX25" s="812"/>
      <c r="BY25" s="812"/>
      <c r="BZ25" s="812"/>
      <c r="CA25" s="812"/>
      <c r="CB25" s="812"/>
      <c r="CC25" s="812"/>
      <c r="CD25" s="812"/>
      <c r="CE25" s="812"/>
      <c r="CF25" s="812"/>
      <c r="CG25" s="812"/>
      <c r="CH25" s="812"/>
      <c r="CI25" s="812"/>
      <c r="CJ25" s="812"/>
      <c r="CK25" s="812"/>
      <c r="CL25" s="812"/>
      <c r="CM25" s="812"/>
      <c r="CN25" s="812"/>
      <c r="CO25" s="812"/>
      <c r="CP25" s="812"/>
      <c r="CQ25" s="812"/>
      <c r="CR25" s="812"/>
      <c r="CS25" s="812"/>
      <c r="CT25" s="812"/>
      <c r="CU25" s="812"/>
      <c r="CV25" s="812"/>
      <c r="CW25" s="812"/>
      <c r="CX25" s="812"/>
      <c r="CY25" s="812"/>
      <c r="CZ25" s="812"/>
      <c r="DA25" s="812"/>
      <c r="DB25" s="812"/>
      <c r="DC25" s="812"/>
      <c r="DD25" s="812"/>
      <c r="DE25" s="812"/>
      <c r="DF25" s="812"/>
      <c r="DG25" s="812"/>
      <c r="DH25" s="812"/>
      <c r="DI25" s="812"/>
      <c r="DJ25" s="812"/>
      <c r="DK25" s="812"/>
      <c r="DL25" s="812"/>
      <c r="DM25" s="812"/>
      <c r="DN25" s="812"/>
      <c r="DO25" s="812"/>
      <c r="DP25" s="812"/>
      <c r="DQ25" s="812"/>
      <c r="DR25" s="812"/>
      <c r="DS25" s="812"/>
      <c r="DT25" s="812"/>
      <c r="DU25" s="812"/>
      <c r="DV25" s="812"/>
      <c r="DW25" s="812"/>
      <c r="DX25" s="812"/>
      <c r="DY25" s="812"/>
      <c r="DZ25" s="812"/>
      <c r="EA25" s="812"/>
      <c r="EB25" s="812"/>
      <c r="EC25" s="812"/>
      <c r="ED25" s="812"/>
      <c r="EE25" s="812"/>
      <c r="EF25" s="812"/>
      <c r="EG25" s="812"/>
      <c r="EH25" s="812"/>
      <c r="EI25" s="812"/>
      <c r="EJ25" s="812"/>
      <c r="EK25" s="812"/>
      <c r="EL25" s="812"/>
      <c r="EM25" s="812"/>
      <c r="EN25" s="812"/>
      <c r="EO25" s="812"/>
      <c r="EP25" s="812"/>
      <c r="EQ25" s="812"/>
      <c r="ER25" s="812"/>
      <c r="ES25" s="812"/>
      <c r="ET25" s="812"/>
      <c r="EU25" s="812"/>
      <c r="EV25" s="812"/>
      <c r="EW25" s="812"/>
      <c r="EX25" s="812"/>
      <c r="EY25" s="812"/>
      <c r="EZ25" s="812"/>
      <c r="FA25" s="812"/>
      <c r="FB25" s="812"/>
      <c r="FC25" s="812"/>
      <c r="FD25" s="812"/>
      <c r="FE25" s="812"/>
      <c r="FF25" s="812"/>
      <c r="FG25" s="812"/>
      <c r="FH25" s="812"/>
      <c r="FI25" s="812"/>
      <c r="FJ25" s="812"/>
      <c r="FK25" s="812"/>
      <c r="FL25" s="812"/>
      <c r="FM25" s="812"/>
      <c r="FN25" s="812"/>
      <c r="FO25" s="812"/>
      <c r="FP25" s="812"/>
      <c r="FQ25" s="812"/>
      <c r="FR25" s="812"/>
      <c r="FS25" s="812"/>
      <c r="FT25" s="812"/>
      <c r="FU25" s="812"/>
      <c r="FV25" s="812"/>
      <c r="FW25" s="812"/>
      <c r="FX25" s="812"/>
      <c r="FY25" s="812"/>
      <c r="FZ25" s="812"/>
      <c r="GA25" s="812"/>
      <c r="GB25" s="812"/>
      <c r="GC25" s="812"/>
      <c r="GD25" s="812"/>
      <c r="GE25" s="812"/>
      <c r="GF25" s="812"/>
      <c r="GG25" s="812"/>
      <c r="GH25" s="812"/>
      <c r="GI25" s="812"/>
      <c r="GJ25" s="812"/>
      <c r="GK25" s="812"/>
      <c r="GL25" s="812"/>
      <c r="GM25" s="812"/>
      <c r="GN25" s="812"/>
      <c r="GO25" s="812"/>
      <c r="GP25" s="812"/>
      <c r="GQ25" s="812"/>
      <c r="GR25" s="812"/>
      <c r="GS25" s="812"/>
      <c r="GT25" s="812"/>
      <c r="GU25" s="812"/>
      <c r="GV25" s="812"/>
      <c r="GW25" s="812"/>
      <c r="GX25" s="812"/>
      <c r="GY25" s="812"/>
      <c r="GZ25" s="812"/>
      <c r="HA25" s="812"/>
      <c r="HB25" s="812"/>
      <c r="HC25" s="812"/>
      <c r="HD25" s="812"/>
      <c r="HE25" s="812"/>
      <c r="HF25" s="812"/>
      <c r="HG25" s="812"/>
      <c r="HH25" s="812"/>
      <c r="HI25" s="812"/>
      <c r="HJ25" s="812"/>
      <c r="HK25" s="812"/>
      <c r="HL25" s="812"/>
      <c r="HM25" s="812"/>
      <c r="HN25" s="812"/>
      <c r="HO25" s="812"/>
      <c r="HP25" s="812"/>
      <c r="HQ25" s="812"/>
      <c r="HR25" s="812"/>
      <c r="HS25" s="812"/>
      <c r="HT25" s="812"/>
      <c r="HU25" s="812"/>
      <c r="HV25" s="812"/>
      <c r="HW25" s="812"/>
      <c r="HX25" s="812"/>
      <c r="HY25" s="812"/>
      <c r="HZ25" s="812"/>
      <c r="IA25" s="812"/>
      <c r="IB25" s="812"/>
      <c r="IC25" s="812"/>
      <c r="ID25" s="812"/>
      <c r="IE25" s="812"/>
      <c r="IF25" s="812"/>
      <c r="IG25" s="812"/>
      <c r="IH25" s="812"/>
      <c r="II25" s="812"/>
      <c r="IJ25" s="812"/>
      <c r="IK25" s="812"/>
      <c r="IL25" s="812"/>
      <c r="IM25" s="812"/>
      <c r="IN25" s="812"/>
      <c r="IO25" s="812"/>
      <c r="IP25" s="812"/>
      <c r="IQ25" s="812"/>
      <c r="IR25" s="812"/>
      <c r="IS25" s="812"/>
      <c r="IT25" s="812"/>
      <c r="IU25" s="812"/>
      <c r="IV25" s="812"/>
      <c r="IW25" s="812"/>
    </row>
    <row r="26" customFormat="false" ht="12.75" hidden="false" customHeight="false" outlineLevel="0" collapsed="false">
      <c r="A26" s="808"/>
      <c r="B26" s="809"/>
      <c r="C26" s="809"/>
      <c r="D26" s="810"/>
      <c r="E26" s="811"/>
      <c r="F26" s="811"/>
      <c r="G26" s="811"/>
      <c r="H26" s="811"/>
      <c r="I26" s="811"/>
      <c r="J26" s="811"/>
      <c r="K26" s="811"/>
      <c r="L26" s="811"/>
      <c r="M26" s="811"/>
      <c r="N26" s="811"/>
      <c r="O26" s="811"/>
      <c r="P26" s="811"/>
      <c r="Q26" s="811"/>
      <c r="R26" s="811"/>
      <c r="S26" s="811"/>
      <c r="T26" s="811"/>
      <c r="U26" s="811"/>
      <c r="V26" s="811"/>
      <c r="W26" s="811"/>
      <c r="X26" s="811"/>
      <c r="Y26" s="811"/>
      <c r="Z26" s="812"/>
      <c r="AA26" s="812"/>
      <c r="AB26" s="812"/>
      <c r="AC26" s="812"/>
      <c r="AD26" s="813"/>
      <c r="AE26" s="814"/>
      <c r="AF26" s="812"/>
      <c r="AG26" s="812"/>
      <c r="AH26" s="812"/>
      <c r="AI26" s="812"/>
      <c r="AJ26" s="812"/>
      <c r="AK26" s="812"/>
      <c r="AL26" s="812"/>
      <c r="AM26" s="812"/>
      <c r="AN26" s="812"/>
      <c r="AO26" s="812"/>
      <c r="AP26" s="812"/>
      <c r="AQ26" s="812"/>
      <c r="AR26" s="812"/>
      <c r="AS26" s="812"/>
      <c r="AT26" s="812"/>
      <c r="AU26" s="812"/>
      <c r="AV26" s="812"/>
      <c r="AW26" s="812"/>
      <c r="AX26" s="812"/>
      <c r="AY26" s="812"/>
      <c r="AZ26" s="812"/>
      <c r="BA26" s="812"/>
      <c r="BB26" s="812"/>
      <c r="BC26" s="812"/>
      <c r="BD26" s="812"/>
      <c r="BE26" s="812"/>
      <c r="BF26" s="812"/>
      <c r="BG26" s="812"/>
      <c r="BH26" s="812"/>
      <c r="BI26" s="812"/>
      <c r="BJ26" s="812"/>
      <c r="BK26" s="812"/>
      <c r="BL26" s="812"/>
      <c r="BM26" s="812"/>
      <c r="BN26" s="812"/>
      <c r="BO26" s="812"/>
      <c r="BP26" s="812"/>
      <c r="BQ26" s="812"/>
      <c r="BR26" s="812"/>
      <c r="BS26" s="812"/>
      <c r="BT26" s="812"/>
      <c r="BU26" s="812"/>
      <c r="BV26" s="812"/>
      <c r="BW26" s="812"/>
      <c r="BX26" s="812"/>
      <c r="BY26" s="812"/>
      <c r="BZ26" s="812"/>
      <c r="CA26" s="812"/>
      <c r="CB26" s="812"/>
      <c r="CC26" s="812"/>
      <c r="CD26" s="812"/>
      <c r="CE26" s="812"/>
      <c r="CF26" s="812"/>
      <c r="CG26" s="812"/>
      <c r="CH26" s="812"/>
      <c r="CI26" s="812"/>
      <c r="CJ26" s="812"/>
      <c r="CK26" s="812"/>
      <c r="CL26" s="812"/>
      <c r="CM26" s="812"/>
      <c r="CN26" s="812"/>
      <c r="CO26" s="812"/>
      <c r="CP26" s="812"/>
      <c r="CQ26" s="812"/>
      <c r="CR26" s="812"/>
      <c r="CS26" s="812"/>
      <c r="CT26" s="812"/>
      <c r="CU26" s="812"/>
      <c r="CV26" s="812"/>
      <c r="CW26" s="812"/>
      <c r="CX26" s="812"/>
      <c r="CY26" s="812"/>
      <c r="CZ26" s="812"/>
      <c r="DA26" s="812"/>
      <c r="DB26" s="812"/>
      <c r="DC26" s="812"/>
      <c r="DD26" s="812"/>
      <c r="DE26" s="812"/>
      <c r="DF26" s="812"/>
      <c r="DG26" s="812"/>
      <c r="DH26" s="812"/>
      <c r="DI26" s="812"/>
      <c r="DJ26" s="812"/>
      <c r="DK26" s="812"/>
      <c r="DL26" s="812"/>
      <c r="DM26" s="812"/>
      <c r="DN26" s="812"/>
      <c r="DO26" s="812"/>
      <c r="DP26" s="812"/>
      <c r="DQ26" s="812"/>
      <c r="DR26" s="812"/>
      <c r="DS26" s="812"/>
      <c r="DT26" s="812"/>
      <c r="DU26" s="812"/>
      <c r="DV26" s="812"/>
      <c r="DW26" s="812"/>
      <c r="DX26" s="812"/>
      <c r="DY26" s="812"/>
      <c r="DZ26" s="812"/>
      <c r="EA26" s="812"/>
      <c r="EB26" s="812"/>
      <c r="EC26" s="812"/>
      <c r="ED26" s="812"/>
      <c r="EE26" s="812"/>
      <c r="EF26" s="812"/>
      <c r="EG26" s="812"/>
      <c r="EH26" s="812"/>
      <c r="EI26" s="812"/>
      <c r="EJ26" s="812"/>
      <c r="EK26" s="812"/>
      <c r="EL26" s="812"/>
      <c r="EM26" s="812"/>
      <c r="EN26" s="812"/>
      <c r="EO26" s="812"/>
      <c r="EP26" s="812"/>
      <c r="EQ26" s="812"/>
      <c r="ER26" s="812"/>
      <c r="ES26" s="812"/>
      <c r="ET26" s="812"/>
      <c r="EU26" s="812"/>
      <c r="EV26" s="812"/>
      <c r="EW26" s="812"/>
      <c r="EX26" s="812"/>
      <c r="EY26" s="812"/>
      <c r="EZ26" s="812"/>
      <c r="FA26" s="812"/>
      <c r="FB26" s="812"/>
      <c r="FC26" s="812"/>
      <c r="FD26" s="812"/>
      <c r="FE26" s="812"/>
      <c r="FF26" s="812"/>
      <c r="FG26" s="812"/>
      <c r="FH26" s="812"/>
      <c r="FI26" s="812"/>
      <c r="FJ26" s="812"/>
      <c r="FK26" s="812"/>
      <c r="FL26" s="812"/>
      <c r="FM26" s="812"/>
      <c r="FN26" s="812"/>
      <c r="FO26" s="812"/>
      <c r="FP26" s="812"/>
      <c r="FQ26" s="812"/>
      <c r="FR26" s="812"/>
      <c r="FS26" s="812"/>
      <c r="FT26" s="812"/>
      <c r="FU26" s="812"/>
      <c r="FV26" s="812"/>
      <c r="FW26" s="812"/>
      <c r="FX26" s="812"/>
      <c r="FY26" s="812"/>
      <c r="FZ26" s="812"/>
      <c r="GA26" s="812"/>
      <c r="GB26" s="812"/>
      <c r="GC26" s="812"/>
      <c r="GD26" s="812"/>
      <c r="GE26" s="812"/>
      <c r="GF26" s="812"/>
      <c r="GG26" s="812"/>
      <c r="GH26" s="812"/>
      <c r="GI26" s="812"/>
      <c r="GJ26" s="812"/>
      <c r="GK26" s="812"/>
      <c r="GL26" s="812"/>
      <c r="GM26" s="812"/>
      <c r="GN26" s="812"/>
      <c r="GO26" s="812"/>
      <c r="GP26" s="812"/>
      <c r="GQ26" s="812"/>
      <c r="GR26" s="812"/>
      <c r="GS26" s="812"/>
      <c r="GT26" s="812"/>
      <c r="GU26" s="812"/>
      <c r="GV26" s="812"/>
      <c r="GW26" s="812"/>
      <c r="GX26" s="812"/>
      <c r="GY26" s="812"/>
      <c r="GZ26" s="812"/>
      <c r="HA26" s="812"/>
      <c r="HB26" s="812"/>
      <c r="HC26" s="812"/>
      <c r="HD26" s="812"/>
      <c r="HE26" s="812"/>
      <c r="HF26" s="812"/>
      <c r="HG26" s="812"/>
      <c r="HH26" s="812"/>
      <c r="HI26" s="812"/>
      <c r="HJ26" s="812"/>
      <c r="HK26" s="812"/>
      <c r="HL26" s="812"/>
      <c r="HM26" s="812"/>
      <c r="HN26" s="812"/>
      <c r="HO26" s="812"/>
      <c r="HP26" s="812"/>
      <c r="HQ26" s="812"/>
      <c r="HR26" s="812"/>
      <c r="HS26" s="812"/>
      <c r="HT26" s="812"/>
      <c r="HU26" s="812"/>
      <c r="HV26" s="812"/>
      <c r="HW26" s="812"/>
      <c r="HX26" s="812"/>
      <c r="HY26" s="812"/>
      <c r="HZ26" s="812"/>
      <c r="IA26" s="812"/>
      <c r="IB26" s="812"/>
      <c r="IC26" s="812"/>
      <c r="ID26" s="812"/>
      <c r="IE26" s="812"/>
      <c r="IF26" s="812"/>
      <c r="IG26" s="812"/>
      <c r="IH26" s="812"/>
      <c r="II26" s="812"/>
      <c r="IJ26" s="812"/>
      <c r="IK26" s="812"/>
      <c r="IL26" s="812"/>
      <c r="IM26" s="812"/>
      <c r="IN26" s="812"/>
      <c r="IO26" s="812"/>
      <c r="IP26" s="812"/>
      <c r="IQ26" s="812"/>
      <c r="IR26" s="812"/>
      <c r="IS26" s="812"/>
      <c r="IT26" s="812"/>
      <c r="IU26" s="812"/>
      <c r="IV26" s="812"/>
      <c r="IW26" s="812"/>
    </row>
    <row r="27" customFormat="false" ht="13.5" hidden="false" customHeight="false" outlineLevel="0" collapsed="false">
      <c r="A27" s="49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349"/>
    </row>
    <row r="28" customFormat="false" ht="12.75" hidden="false" customHeight="false" outlineLevel="0" collapsed="false">
      <c r="A28" s="303" t="s">
        <v>726</v>
      </c>
      <c r="B28" s="820"/>
      <c r="C28" s="821" t="str">
        <f aca="false">Assm!$T8</f>
        <v>Tranche 1: MLA - OPIC</v>
      </c>
      <c r="D28" s="821"/>
      <c r="E28" s="821"/>
      <c r="F28" s="821"/>
      <c r="G28" s="821" t="str">
        <f aca="false">Assm!$T17</f>
        <v>Tranche 2: KFW (Uncovered Loan)</v>
      </c>
      <c r="H28" s="821"/>
      <c r="I28" s="821"/>
      <c r="J28" s="821"/>
      <c r="K28" s="821" t="str">
        <f aca="false">Assm!$T26</f>
        <v>Tranche 3: </v>
      </c>
      <c r="L28" s="821"/>
      <c r="M28" s="821"/>
      <c r="N28" s="821"/>
      <c r="O28" s="821" t="str">
        <f aca="false">Assm!$T35</f>
        <v>Tranche 4:</v>
      </c>
      <c r="P28" s="821"/>
      <c r="Q28" s="821"/>
      <c r="R28" s="821"/>
      <c r="S28" s="821" t="str">
        <f aca="false">Assm!$T44</f>
        <v>Tranche 5:</v>
      </c>
      <c r="T28" s="821"/>
      <c r="U28" s="821"/>
      <c r="V28" s="821"/>
      <c r="W28" s="821" t="str">
        <f aca="false">Assm!$T53</f>
        <v>Tranche 6: Subordinated Debt</v>
      </c>
      <c r="X28" s="821"/>
      <c r="Y28" s="821"/>
      <c r="Z28" s="821"/>
      <c r="AA28" s="822"/>
      <c r="AB28" s="44"/>
      <c r="AC28" s="822"/>
      <c r="AD28" s="44"/>
      <c r="AE28" s="823"/>
    </row>
    <row r="29" customFormat="false" ht="12.75" hidden="false" customHeight="false" outlineLevel="0" collapsed="false">
      <c r="A29" s="303" t="s">
        <v>727</v>
      </c>
      <c r="B29" s="726"/>
      <c r="C29" s="719" t="s">
        <v>62</v>
      </c>
      <c r="D29" s="39"/>
      <c r="F29" s="824" t="n">
        <f aca="false">Assm!$X9</f>
        <v>75934.8027862155</v>
      </c>
      <c r="G29" s="719" t="s">
        <v>62</v>
      </c>
      <c r="H29" s="39"/>
      <c r="J29" s="824" t="n">
        <f aca="false">Assm!$X18</f>
        <v>0</v>
      </c>
      <c r="K29" s="719" t="s">
        <v>62</v>
      </c>
      <c r="L29" s="39"/>
      <c r="N29" s="825" t="n">
        <f aca="false">Assm!$X27</f>
        <v>0</v>
      </c>
      <c r="O29" s="719" t="s">
        <v>62</v>
      </c>
      <c r="P29" s="39"/>
      <c r="R29" s="825" t="n">
        <f aca="false">Assm!$X36</f>
        <v>0</v>
      </c>
      <c r="S29" s="719" t="s">
        <v>62</v>
      </c>
      <c r="T29" s="39"/>
      <c r="V29" s="825" t="n">
        <f aca="false">Assm!$X45</f>
        <v>0</v>
      </c>
      <c r="W29" s="719" t="s">
        <v>62</v>
      </c>
      <c r="X29" s="39"/>
      <c r="Z29" s="824" t="n">
        <f aca="false">Assm!$X54</f>
        <v>21492.6890302453</v>
      </c>
      <c r="AA29" s="719"/>
      <c r="AB29" s="44"/>
      <c r="AC29" s="719"/>
      <c r="AD29" s="44"/>
      <c r="AE29" s="826"/>
    </row>
    <row r="30" customFormat="false" ht="12.75" hidden="false" customHeight="false" outlineLevel="0" collapsed="false">
      <c r="A30" s="37"/>
      <c r="B30" s="726"/>
      <c r="C30" s="719" t="s">
        <v>728</v>
      </c>
      <c r="F30" s="827" t="n">
        <f aca="false">Assm!$U11</f>
        <v>15</v>
      </c>
      <c r="G30" s="719" t="s">
        <v>728</v>
      </c>
      <c r="H30" s="39"/>
      <c r="J30" s="828" t="n">
        <f aca="false">Assm!$U20</f>
        <v>0</v>
      </c>
      <c r="K30" s="719" t="s">
        <v>728</v>
      </c>
      <c r="L30" s="39"/>
      <c r="N30" s="828" t="n">
        <f aca="false">Assm!$U29</f>
        <v>0</v>
      </c>
      <c r="O30" s="719" t="s">
        <v>728</v>
      </c>
      <c r="P30" s="39"/>
      <c r="R30" s="828" t="n">
        <f aca="false">Assm!$U38</f>
        <v>0</v>
      </c>
      <c r="S30" s="719" t="s">
        <v>728</v>
      </c>
      <c r="T30" s="39"/>
      <c r="V30" s="828" t="n">
        <f aca="false">Assm!$U47</f>
        <v>0</v>
      </c>
      <c r="W30" s="719" t="s">
        <v>728</v>
      </c>
      <c r="X30" s="39"/>
      <c r="Z30" s="828" t="n">
        <f aca="false">Assm!$U56</f>
        <v>12</v>
      </c>
      <c r="AA30" s="719"/>
      <c r="AB30" s="44"/>
      <c r="AC30" s="719"/>
      <c r="AD30" s="44"/>
      <c r="AE30" s="826"/>
    </row>
    <row r="31" customFormat="false" ht="12.75" hidden="false" customHeight="false" outlineLevel="0" collapsed="false">
      <c r="A31" s="37"/>
      <c r="B31" s="726"/>
      <c r="C31" s="829" t="s">
        <v>729</v>
      </c>
      <c r="D31" s="830"/>
      <c r="F31" s="828" t="n">
        <f aca="false">Assm!$X11</f>
        <v>29</v>
      </c>
      <c r="G31" s="829" t="s">
        <v>729</v>
      </c>
      <c r="H31" s="39"/>
      <c r="I31" s="315"/>
      <c r="J31" s="828" t="n">
        <f aca="false">Assm!$X20</f>
        <v>0</v>
      </c>
      <c r="K31" s="829" t="s">
        <v>729</v>
      </c>
      <c r="L31" s="39"/>
      <c r="M31" s="315"/>
      <c r="N31" s="828" t="n">
        <f aca="false">Assm!$X29</f>
        <v>0</v>
      </c>
      <c r="O31" s="829" t="s">
        <v>729</v>
      </c>
      <c r="P31" s="39"/>
      <c r="Q31" s="315"/>
      <c r="R31" s="828" t="n">
        <f aca="false">Assm!$X38</f>
        <v>0</v>
      </c>
      <c r="S31" s="829" t="s">
        <v>729</v>
      </c>
      <c r="T31" s="39"/>
      <c r="U31" s="315"/>
      <c r="V31" s="828" t="n">
        <f aca="false">Assm!$X47</f>
        <v>0</v>
      </c>
      <c r="W31" s="829" t="s">
        <v>729</v>
      </c>
      <c r="X31" s="39"/>
      <c r="Y31" s="315"/>
      <c r="Z31" s="828" t="n">
        <f aca="false">Assm!$X56</f>
        <v>23</v>
      </c>
      <c r="AA31" s="719"/>
      <c r="AB31" s="44"/>
      <c r="AC31" s="719"/>
      <c r="AD31" s="44"/>
      <c r="AE31" s="826"/>
    </row>
    <row r="32" customFormat="false" ht="13.5" hidden="false" customHeight="false" outlineLevel="0" collapsed="false">
      <c r="A32" s="37"/>
      <c r="B32" s="726"/>
      <c r="C32" s="719" t="s">
        <v>313</v>
      </c>
      <c r="D32" s="39"/>
      <c r="F32" s="831" t="n">
        <f aca="false">Assm!$X14</f>
        <v>0.110125</v>
      </c>
      <c r="G32" s="719" t="s">
        <v>313</v>
      </c>
      <c r="H32" s="39"/>
      <c r="J32" s="831" t="n">
        <f aca="false">Assm!$X23</f>
        <v>0.0927</v>
      </c>
      <c r="K32" s="719" t="s">
        <v>313</v>
      </c>
      <c r="L32" s="39"/>
      <c r="N32" s="831" t="n">
        <f aca="false">Assm!$X32</f>
        <v>0</v>
      </c>
      <c r="O32" s="719" t="s">
        <v>313</v>
      </c>
      <c r="P32" s="39"/>
      <c r="R32" s="831" t="n">
        <f aca="false">Assm!$X41</f>
        <v>0</v>
      </c>
      <c r="S32" s="719" t="s">
        <v>313</v>
      </c>
      <c r="T32" s="39"/>
      <c r="V32" s="831" t="n">
        <f aca="false">Assm!$X50</f>
        <v>0</v>
      </c>
      <c r="W32" s="719" t="s">
        <v>313</v>
      </c>
      <c r="X32" s="39"/>
      <c r="Z32" s="831" t="n">
        <f aca="false">Assm!$X59</f>
        <v>0.13</v>
      </c>
      <c r="AA32" s="719"/>
      <c r="AB32" s="44"/>
      <c r="AC32" s="719"/>
      <c r="AD32" s="44"/>
      <c r="AE32" s="826"/>
    </row>
    <row r="33" customFormat="false" ht="12.75" hidden="false" customHeight="false" outlineLevel="0" collapsed="false">
      <c r="A33" s="37"/>
      <c r="B33" s="726"/>
      <c r="C33" s="719" t="s">
        <v>730</v>
      </c>
      <c r="D33" s="39"/>
      <c r="F33" s="828" t="n">
        <f aca="false">Assm!$X12</f>
        <v>1</v>
      </c>
      <c r="G33" s="719" t="s">
        <v>730</v>
      </c>
      <c r="H33" s="39"/>
      <c r="J33" s="832" t="n">
        <f aca="false">Assm!$X21</f>
        <v>1</v>
      </c>
      <c r="K33" s="719" t="s">
        <v>730</v>
      </c>
      <c r="L33" s="39"/>
      <c r="N33" s="828" t="n">
        <f aca="false">Assm!$X30</f>
        <v>0</v>
      </c>
      <c r="O33" s="719" t="s">
        <v>730</v>
      </c>
      <c r="P33" s="39"/>
      <c r="R33" s="828" t="n">
        <f aca="false">Assm!$X39</f>
        <v>0</v>
      </c>
      <c r="S33" s="719" t="s">
        <v>730</v>
      </c>
      <c r="T33" s="39"/>
      <c r="V33" s="828" t="n">
        <f aca="false">Assm!$X48</f>
        <v>0</v>
      </c>
      <c r="W33" s="719" t="s">
        <v>730</v>
      </c>
      <c r="X33" s="39"/>
      <c r="Z33" s="828" t="n">
        <f aca="false">Assm!$X57</f>
        <v>1</v>
      </c>
      <c r="AA33" s="719"/>
      <c r="AB33" s="44"/>
      <c r="AC33" s="719"/>
      <c r="AD33" s="44"/>
      <c r="AE33" s="833"/>
      <c r="AG33" s="834" t="s">
        <v>731</v>
      </c>
      <c r="AH33" s="834"/>
      <c r="AI33" s="834"/>
      <c r="AJ33" s="834"/>
      <c r="AK33" s="834"/>
      <c r="AL33" s="834"/>
      <c r="AM33" s="834"/>
      <c r="AN33" s="834"/>
      <c r="AO33" s="834"/>
      <c r="AP33" s="834"/>
      <c r="AQ33" s="834"/>
      <c r="AR33" s="834"/>
    </row>
    <row r="34" customFormat="false" ht="12.75" hidden="false" customHeight="false" outlineLevel="0" collapsed="false">
      <c r="A34" s="37"/>
      <c r="B34" s="726"/>
      <c r="C34" s="719" t="str">
        <f aca="false">IF(F34=0,"NOT AMORTIZED",CHOOSE(F34,"STRAIGHT LINE AMORTIZATION","MORTGAGE STYLE AMORTIZATION","CUSTOM AMORTIATION"))</f>
        <v>CUSTOM AMORTIATION</v>
      </c>
      <c r="D34" s="39"/>
      <c r="E34" s="39"/>
      <c r="F34" s="835" t="n">
        <f aca="false">Assm!$X10</f>
        <v>3</v>
      </c>
      <c r="G34" s="719" t="str">
        <f aca="false">IF(J34=0,"NOT AMORTIZED",CHOOSE(J34,"STRAIGHT LINE AMORTIZATION","MORTGAGE STYLE AMORTIZATION","CUSTOM AMORTIATION"))</f>
        <v>MORTGAGE STYLE AMORTIZATION</v>
      </c>
      <c r="H34" s="39"/>
      <c r="I34" s="39"/>
      <c r="J34" s="835" t="n">
        <f aca="false">Assm!$X19</f>
        <v>2</v>
      </c>
      <c r="K34" s="719" t="str">
        <f aca="false">IF(N34=0,"NOT AMORTIZED",CHOOSE(N34,"STRAIGHT LINE AMORTIZATION","MORTGAGE STYLE AMORTIZATION","CUSTOM AMORTIATION"))</f>
        <v>NOT AMORTIZED</v>
      </c>
      <c r="L34" s="39"/>
      <c r="M34" s="39"/>
      <c r="N34" s="835" t="n">
        <f aca="false">Assm!$X28</f>
        <v>0</v>
      </c>
      <c r="O34" s="719" t="str">
        <f aca="false">IF(R34=0,"NOT AMORTIZED",CHOOSE(R34,"STRAIGHT LINE AMORTIZATION","MORTGAGE STYLE AMORTIZATION","CUSTOM AMORTIATION"))</f>
        <v>NOT AMORTIZED</v>
      </c>
      <c r="P34" s="39"/>
      <c r="Q34" s="39"/>
      <c r="R34" s="835" t="n">
        <f aca="false">Assm!$X37</f>
        <v>0</v>
      </c>
      <c r="S34" s="719" t="str">
        <f aca="false">IF(V34=0,"NOT AMORTIZED",CHOOSE(V34,"STRAIGHT LINE AMORTIZATION","MORTGAGE STYLE AMORTIZATION","CUSTOM AMORTIATION"))</f>
        <v>NOT AMORTIZED</v>
      </c>
      <c r="T34" s="39"/>
      <c r="U34" s="39"/>
      <c r="V34" s="835" t="n">
        <f aca="false">Assm!$X46</f>
        <v>0</v>
      </c>
      <c r="W34" s="719" t="str">
        <f aca="false">IF(Z34=0,"NOT AMORTIZED",CHOOSE(Z34,"STRAIGHT LINE AMORTIZATION","MORTGAGE STYLE AMORTIZATION","CUSTOM AMORTIATION"))</f>
        <v>MORTGAGE STYLE AMORTIZATION</v>
      </c>
      <c r="X34" s="39"/>
      <c r="Y34" s="39"/>
      <c r="Z34" s="835" t="n">
        <f aca="false">Assm!$X55</f>
        <v>2</v>
      </c>
      <c r="AA34" s="836" t="s">
        <v>42</v>
      </c>
      <c r="AB34" s="837" t="s">
        <v>42</v>
      </c>
      <c r="AC34" s="836" t="s">
        <v>42</v>
      </c>
      <c r="AD34" s="837" t="s">
        <v>42</v>
      </c>
      <c r="AE34" s="833" t="s">
        <v>732</v>
      </c>
      <c r="AG34" s="37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4"/>
    </row>
    <row r="35" customFormat="false" ht="12.75" hidden="false" customHeight="false" outlineLevel="0" collapsed="false">
      <c r="A35" s="37"/>
      <c r="B35" s="726"/>
      <c r="C35" s="719"/>
      <c r="D35" s="39"/>
      <c r="E35" s="39"/>
      <c r="F35" s="726"/>
      <c r="G35" s="719"/>
      <c r="H35" s="39"/>
      <c r="I35" s="39"/>
      <c r="J35" s="726"/>
      <c r="K35" s="719"/>
      <c r="L35" s="39"/>
      <c r="M35" s="39"/>
      <c r="N35" s="726"/>
      <c r="O35" s="719"/>
      <c r="P35" s="39"/>
      <c r="Q35" s="39"/>
      <c r="R35" s="726"/>
      <c r="S35" s="719"/>
      <c r="T35" s="39"/>
      <c r="U35" s="39"/>
      <c r="V35" s="726"/>
      <c r="W35" s="719"/>
      <c r="X35" s="39"/>
      <c r="Y35" s="39"/>
      <c r="Z35" s="726"/>
      <c r="AA35" s="43" t="s">
        <v>733</v>
      </c>
      <c r="AB35" s="837" t="s">
        <v>733</v>
      </c>
      <c r="AC35" s="43" t="s">
        <v>734</v>
      </c>
      <c r="AD35" s="837" t="s">
        <v>734</v>
      </c>
      <c r="AE35" s="833" t="s">
        <v>735</v>
      </c>
      <c r="AG35" s="838" t="s">
        <v>736</v>
      </c>
      <c r="AH35" s="839" t="s">
        <v>737</v>
      </c>
      <c r="AI35" s="838" t="s">
        <v>738</v>
      </c>
      <c r="AJ35" s="840" t="s">
        <v>737</v>
      </c>
      <c r="AK35" s="838" t="s">
        <v>739</v>
      </c>
      <c r="AL35" s="840" t="s">
        <v>737</v>
      </c>
      <c r="AM35" s="838" t="s">
        <v>740</v>
      </c>
      <c r="AN35" s="840" t="s">
        <v>737</v>
      </c>
      <c r="AO35" s="838" t="s">
        <v>741</v>
      </c>
      <c r="AP35" s="840" t="s">
        <v>737</v>
      </c>
      <c r="AQ35" s="838" t="s">
        <v>742</v>
      </c>
      <c r="AR35" s="841" t="s">
        <v>737</v>
      </c>
    </row>
    <row r="36" customFormat="false" ht="12.75" hidden="false" customHeight="false" outlineLevel="0" collapsed="false">
      <c r="A36" s="842" t="s">
        <v>743</v>
      </c>
      <c r="B36" s="843" t="s">
        <v>744</v>
      </c>
      <c r="C36" s="844" t="s">
        <v>745</v>
      </c>
      <c r="D36" s="205" t="s">
        <v>746</v>
      </c>
      <c r="E36" s="205" t="s">
        <v>726</v>
      </c>
      <c r="F36" s="843" t="s">
        <v>747</v>
      </c>
      <c r="G36" s="844" t="s">
        <v>745</v>
      </c>
      <c r="H36" s="205" t="s">
        <v>746</v>
      </c>
      <c r="I36" s="205" t="s">
        <v>726</v>
      </c>
      <c r="J36" s="843" t="s">
        <v>747</v>
      </c>
      <c r="K36" s="844" t="s">
        <v>745</v>
      </c>
      <c r="L36" s="205" t="s">
        <v>746</v>
      </c>
      <c r="M36" s="205" t="s">
        <v>726</v>
      </c>
      <c r="N36" s="843" t="s">
        <v>747</v>
      </c>
      <c r="O36" s="844" t="s">
        <v>745</v>
      </c>
      <c r="P36" s="205" t="s">
        <v>746</v>
      </c>
      <c r="Q36" s="205" t="s">
        <v>726</v>
      </c>
      <c r="R36" s="843" t="s">
        <v>747</v>
      </c>
      <c r="S36" s="844" t="s">
        <v>745</v>
      </c>
      <c r="T36" s="205" t="s">
        <v>746</v>
      </c>
      <c r="U36" s="205" t="s">
        <v>726</v>
      </c>
      <c r="V36" s="843" t="s">
        <v>747</v>
      </c>
      <c r="W36" s="844" t="s">
        <v>745</v>
      </c>
      <c r="X36" s="205" t="s">
        <v>746</v>
      </c>
      <c r="Y36" s="205" t="s">
        <v>726</v>
      </c>
      <c r="Z36" s="843" t="s">
        <v>747</v>
      </c>
      <c r="AA36" s="205" t="s">
        <v>746</v>
      </c>
      <c r="AB36" s="845" t="s">
        <v>726</v>
      </c>
      <c r="AC36" s="205" t="s">
        <v>746</v>
      </c>
      <c r="AD36" s="845" t="s">
        <v>726</v>
      </c>
      <c r="AE36" s="826"/>
      <c r="AG36" s="846" t="s">
        <v>726</v>
      </c>
      <c r="AH36" s="843" t="s">
        <v>748</v>
      </c>
      <c r="AI36" s="847" t="s">
        <v>726</v>
      </c>
      <c r="AJ36" s="46" t="s">
        <v>748</v>
      </c>
      <c r="AK36" s="847" t="s">
        <v>726</v>
      </c>
      <c r="AL36" s="46" t="s">
        <v>748</v>
      </c>
      <c r="AM36" s="847" t="s">
        <v>726</v>
      </c>
      <c r="AN36" s="46" t="s">
        <v>748</v>
      </c>
      <c r="AO36" s="847" t="s">
        <v>726</v>
      </c>
      <c r="AP36" s="46" t="s">
        <v>748</v>
      </c>
      <c r="AQ36" s="847" t="s">
        <v>726</v>
      </c>
      <c r="AR36" s="124" t="s">
        <v>748</v>
      </c>
    </row>
    <row r="37" customFormat="false" ht="12.75" hidden="false" customHeight="false" outlineLevel="0" collapsed="false">
      <c r="A37" s="258" t="n">
        <f aca="false">YEAR(Startops2)</f>
        <v>2001</v>
      </c>
      <c r="B37" s="848" t="n">
        <f aca="false">IF(MONTH(Startops2)&gt;6,0,1)</f>
        <v>0</v>
      </c>
      <c r="C37" s="849" t="n">
        <f aca="false">F29</f>
        <v>75934.8027862155</v>
      </c>
      <c r="D37" s="850" t="n">
        <f aca="false">IF(MONTH(Startops2)&lt;=6,C37*F$32*(7-MONTH(Startops2))/12,0)</f>
        <v>0</v>
      </c>
      <c r="E37" s="557" t="n">
        <f aca="false">IF(F$34=0,0,IF($B37&gt;=F$31,C37,IF(F$33&gt;=$B37,0,IF(C37&gt;1,CHOOSE(F$34,F$29/(F$31-F$33),-PMT(F$32/2,F$31-$B36,C37,0)-D37,F$29*$AH37)))))*Assm!$X$90</f>
        <v>0</v>
      </c>
      <c r="F37" s="824" t="n">
        <f aca="false">C37-E37</f>
        <v>75934.8027862155</v>
      </c>
      <c r="G37" s="849" t="n">
        <f aca="false">J29</f>
        <v>0</v>
      </c>
      <c r="H37" s="850" t="n">
        <f aca="false">IF(MONTH(Startops2)&lt;=6,G37*J$32*(7-MONTH(Startops2))/12,0)</f>
        <v>0</v>
      </c>
      <c r="I37" s="61" t="n">
        <f aca="false">IF(J$34=0,0,IF($B37&gt;=J$31,G37,IF(J$33&gt;=$B37,0,IF(G37&gt;1,CHOOSE(J$34,J$29/(J$31-J$33),-PMT(J$32/2,J$31-$B36,G37,0)-H37,J$29*$AJ37)))))</f>
        <v>0</v>
      </c>
      <c r="J37" s="824" t="n">
        <f aca="false">G37-I37</f>
        <v>0</v>
      </c>
      <c r="K37" s="849" t="n">
        <f aca="false">N29</f>
        <v>0</v>
      </c>
      <c r="L37" s="850" t="n">
        <f aca="false">IF(MONTH(Startops2)&lt;=6,K37*N$32*(7-MONTH(Startops2))/12,0)</f>
        <v>0</v>
      </c>
      <c r="M37" s="61" t="n">
        <f aca="false">IF(N$34=0,0,IF($B37&gt;=N$31,K37,IF(N$33&gt;=$B37,0,IF(K37&gt;1,CHOOSE(N$34,N$29/(N$31-N$33),-PMT(N$32/2,N$31-$B36,K37,0)-L37,N$29*$AL37)))))</f>
        <v>0</v>
      </c>
      <c r="N37" s="824" t="n">
        <f aca="false">K37-M37</f>
        <v>0</v>
      </c>
      <c r="O37" s="849" t="n">
        <f aca="false">R29</f>
        <v>0</v>
      </c>
      <c r="P37" s="850" t="n">
        <f aca="false">IF(MONTH(Startops2)&lt;=6,O37*R$32*(7-MONTH(Startops2))/12,0)</f>
        <v>0</v>
      </c>
      <c r="Q37" s="61" t="n">
        <f aca="false">IF(R$34=0,0,IF($B37&gt;=R$31,O37,IF(R$33&gt;=$B37,0,IF(O37&gt;1,CHOOSE(R$34,R$29/(R$31-R$33),-PMT(R$32/2,R$31-$B36,O37,0)-P37,R$29*$AN37)))))</f>
        <v>0</v>
      </c>
      <c r="R37" s="824" t="n">
        <f aca="false">O37-Q37</f>
        <v>0</v>
      </c>
      <c r="S37" s="849" t="n">
        <f aca="false">V29</f>
        <v>0</v>
      </c>
      <c r="T37" s="850" t="n">
        <f aca="false">IF(MONTH(Startops2)&lt;=6,S37*V$32*(7-MONTH(Startops2))/12,0)</f>
        <v>0</v>
      </c>
      <c r="U37" s="61" t="n">
        <f aca="false">IF(V$34=0,0,IF($B37&gt;=V$31,S37,IF(V$33&gt;=$B37,0,IF(S37&gt;1,CHOOSE(V$34,V$29/(V$31-V$33),-PMT(V$32/2,V$31-$B36,S37,0)-T37,V$29*$AP37)))))</f>
        <v>0</v>
      </c>
      <c r="V37" s="824" t="n">
        <f aca="false">S37-U37</f>
        <v>0</v>
      </c>
      <c r="W37" s="849" t="n">
        <f aca="false">Z29</f>
        <v>21492.6890302453</v>
      </c>
      <c r="X37" s="850" t="n">
        <f aca="false">IF(MONTH(Startops2)&lt;=6,W37*Z$32*(7-MONTH(Startops2))/12,0)</f>
        <v>0</v>
      </c>
      <c r="Y37" s="61" t="n">
        <f aca="false">IF(Z$34=0,0,IF($B37&gt;=Z$31,W37,IF(Z$33&gt;=$B37,0,IF(W37&gt;1,CHOOSE(Z$34,Z$29/(Z$31-Z$33),-PMT(Z$32/2,Z$31-$B36,W37,0)-X37,Z$29*$AR37)))))</f>
        <v>0</v>
      </c>
      <c r="Z37" s="824" t="n">
        <f aca="false">W37-Y37</f>
        <v>21492.6890302453</v>
      </c>
      <c r="AA37" s="61"/>
      <c r="AB37" s="65"/>
      <c r="AC37" s="61"/>
      <c r="AD37" s="65"/>
      <c r="AE37" s="826"/>
      <c r="AG37" s="851" t="n">
        <v>0</v>
      </c>
      <c r="AH37" s="852" t="n">
        <f aca="false">IF(AG$77=0,0,AG37/AG$77)</f>
        <v>0</v>
      </c>
      <c r="AI37" s="853" t="n">
        <v>0</v>
      </c>
      <c r="AJ37" s="107" t="n">
        <f aca="false">IF(AI$77=0,0,AI37/AI$77)</f>
        <v>0</v>
      </c>
      <c r="AK37" s="853" t="n">
        <v>0</v>
      </c>
      <c r="AL37" s="107" t="n">
        <f aca="false">IF(AK$77=0,0,AK37/AK$77)</f>
        <v>0</v>
      </c>
      <c r="AM37" s="853" t="n">
        <v>0</v>
      </c>
      <c r="AN37" s="107" t="n">
        <f aca="false">IF(AM$77=0,0,AM37/AM$77)</f>
        <v>0</v>
      </c>
      <c r="AO37" s="853" t="n">
        <v>0</v>
      </c>
      <c r="AP37" s="107" t="n">
        <f aca="false">IF(AO$77=0,0,AO37/AO$77)</f>
        <v>0</v>
      </c>
      <c r="AQ37" s="853" t="n">
        <v>0</v>
      </c>
      <c r="AR37" s="89" t="n">
        <f aca="false">IF(AQ$77=0,0,AQ37/AQ$77)</f>
        <v>0</v>
      </c>
    </row>
    <row r="38" customFormat="false" ht="12.75" hidden="false" customHeight="false" outlineLevel="0" collapsed="false">
      <c r="A38" s="854" t="n">
        <f aca="false">A37</f>
        <v>2001</v>
      </c>
      <c r="B38" s="855" t="n">
        <f aca="false">B37+1</f>
        <v>1</v>
      </c>
      <c r="C38" s="856" t="n">
        <f aca="false">F37</f>
        <v>75934.8027862155</v>
      </c>
      <c r="D38" s="857" t="n">
        <f aca="false">IF(MONTH(Startops2)&gt;6,C38*F$32*(13-MONTH(Startops2))/12,C38*F$32*0.5)</f>
        <v>3484.30006534666</v>
      </c>
      <c r="E38" s="858" t="n">
        <f aca="false">IF(F$34=0,0,IF($B38&gt;=F$31,C38,IF(F$33&gt;=$B38,0,IF(C38&gt;1,CHOOSE(F$34,F$29/(F$31-F$33),-PMT(F$32/2,F$31-$B37,C38,0)-D38,F$29*$AH38)))))*Assm!$X$90</f>
        <v>0</v>
      </c>
      <c r="F38" s="859" t="n">
        <f aca="false">C38-E38</f>
        <v>75934.8027862155</v>
      </c>
      <c r="G38" s="856" t="n">
        <f aca="false">J37</f>
        <v>0</v>
      </c>
      <c r="H38" s="857" t="n">
        <f aca="false">IF(MONTH(Startops2)&gt;6,G38*J$32*(13-MONTH(Startops2))/12,G38*J$32*0.5)</f>
        <v>0</v>
      </c>
      <c r="I38" s="858" t="n">
        <f aca="false">IF(J$34=0,0,IF($B38&gt;=J$31,G38,IF(J$33&gt;=$B38,0,IF(G38&gt;1,CHOOSE(J$34,J$29/(J$31-J$33),-PMT(J$32/2,J$31-$B37,G38,0)-H38,J$29*$AJ38)))))</f>
        <v>0</v>
      </c>
      <c r="J38" s="859" t="n">
        <f aca="false">G38-I38</f>
        <v>0</v>
      </c>
      <c r="K38" s="856" t="n">
        <f aca="false">N37</f>
        <v>0</v>
      </c>
      <c r="L38" s="857" t="n">
        <f aca="false">IF(MONTH(Startops2)&gt;6,K38*N$32*(13-MONTH(Startops2))/12,K38*N$32*0.5)</f>
        <v>0</v>
      </c>
      <c r="M38" s="858" t="n">
        <f aca="false">IF(N$34=0,0,IF($B38&gt;=N$31,K38,IF(N$33&gt;=$B38,0,IF(K38&gt;1,CHOOSE(N$34,N$29/(N$31-N$33),-PMT(N$32/2,N$31-$B37,K38,0)-L38,N$29*$AL38)))))</f>
        <v>0</v>
      </c>
      <c r="N38" s="859" t="n">
        <f aca="false">K38-M38</f>
        <v>0</v>
      </c>
      <c r="O38" s="856" t="n">
        <f aca="false">R37</f>
        <v>0</v>
      </c>
      <c r="P38" s="857" t="n">
        <f aca="false">IF(MONTH(Startops2)&gt;6,O38*R$32*(13-MONTH(Startops2))/12,O38*R$32*0.5)</f>
        <v>0</v>
      </c>
      <c r="Q38" s="858" t="n">
        <f aca="false">IF(R$34=0,0,IF($B38&gt;=R$31,O38,IF(R$33&gt;=$B38,0,IF(O38&gt;1,CHOOSE(R$34,R$29/(R$31-R$33),-PMT(R$32/2,R$31-$B37,O38,0)-P38,R$29*$AN38)))))</f>
        <v>0</v>
      </c>
      <c r="R38" s="859" t="n">
        <f aca="false">O38-Q38</f>
        <v>0</v>
      </c>
      <c r="S38" s="856" t="n">
        <f aca="false">V37</f>
        <v>0</v>
      </c>
      <c r="T38" s="857" t="n">
        <f aca="false">IF(MONTH(Startops2)&gt;6,S38*V$32*(13-MONTH(Startops2))/12,S38*V$32*0.5)</f>
        <v>0</v>
      </c>
      <c r="U38" s="858" t="n">
        <f aca="false">IF(V$34=0,0,IF($B38&gt;=V$31,S38,IF(V$33&gt;=$B38,0,IF(S38&gt;1,CHOOSE(V$34,V$29/(V$31-V$33),-PMT(V$32/2,V$31-$B37,S38,0)-T38,V$29*$AP38)))))</f>
        <v>0</v>
      </c>
      <c r="V38" s="859" t="n">
        <f aca="false">S38-U38</f>
        <v>0</v>
      </c>
      <c r="W38" s="856" t="n">
        <f aca="false">Z37</f>
        <v>21492.6890302453</v>
      </c>
      <c r="X38" s="857" t="n">
        <f aca="false">IF(MONTH(Startops2)&gt;6,W38*Z$32*(13-MONTH(Startops2))/12,W38*Z$32*0.5)</f>
        <v>1164.18732247162</v>
      </c>
      <c r="Y38" s="858" t="n">
        <f aca="false">IF(Z$34=0,0,IF($B38&gt;=Z$31,W38,IF(Z$33&gt;=$B38,0,IF(W38&gt;1,CHOOSE(Z$34,Z$29/(Z$31-Z$33),-PMT(Z$32/2,Z$31-$B37,W38,0)-X38,Z$29*$AR38)))))</f>
        <v>0</v>
      </c>
      <c r="Z38" s="859" t="n">
        <f aca="false">W38-Y38</f>
        <v>21492.6890302453</v>
      </c>
      <c r="AA38" s="532" t="n">
        <f aca="false">SUM(D37:D38,H37:H38,L37:L38,P37:P38,T37:T38)</f>
        <v>3484.30006534666</v>
      </c>
      <c r="AB38" s="860" t="n">
        <f aca="false">SUM(E37:E38,I37:I38,M37:M38,Q37:Q38,U37:U38)</f>
        <v>0</v>
      </c>
      <c r="AC38" s="532" t="n">
        <f aca="false">SUM(X37:X38)</f>
        <v>1164.18732247162</v>
      </c>
      <c r="AD38" s="860" t="n">
        <f aca="false">SUM(Y37:Y38)</f>
        <v>0</v>
      </c>
      <c r="AE38" s="861" t="n">
        <f aca="false">(C37+G37+W37)*IF([1]RAROC!$B$103=1,VLOOKUP(A38,[2]!Guar_Fee_Table,2),IF([1]RAROC!$B$103=2,VLOOKUP(A38,[2]!Guar_Fee_Table,3),IF([1]RAROC!$B$103=3,VLOOKUP(A38,[2]!Guar_Fee_Table,4,0))))*((13-MONTH(Startops2))/12)</f>
        <v>1623.79153027435</v>
      </c>
      <c r="AG38" s="851" t="n">
        <f aca="false">3556.85714285714-450</f>
        <v>3106.85714285714</v>
      </c>
      <c r="AH38" s="852" t="n">
        <f aca="false">IF(AG$77=0,0,AG38/AG$77)</f>
        <v>0.0155342857142857</v>
      </c>
      <c r="AI38" s="853" t="n">
        <v>0</v>
      </c>
      <c r="AJ38" s="107" t="n">
        <f aca="false">IF(AI$77=0,0,AI38/AI$77)</f>
        <v>0</v>
      </c>
      <c r="AK38" s="853" t="n">
        <v>0</v>
      </c>
      <c r="AL38" s="107" t="n">
        <f aca="false">IF(AK$77=0,0,AK38/AK$77)</f>
        <v>0</v>
      </c>
      <c r="AM38" s="853" t="n">
        <v>0</v>
      </c>
      <c r="AN38" s="107" t="n">
        <f aca="false">IF(AM$77=0,0,AM38/AM$77)</f>
        <v>0</v>
      </c>
      <c r="AO38" s="853" t="n">
        <v>0</v>
      </c>
      <c r="AP38" s="107" t="n">
        <f aca="false">IF(AO$77=0,0,AO38/AO$77)</f>
        <v>0</v>
      </c>
      <c r="AQ38" s="853" t="n">
        <v>0</v>
      </c>
      <c r="AR38" s="89" t="n">
        <f aca="false">IF(AQ$77=0,0,AQ38/AQ$77)</f>
        <v>0</v>
      </c>
    </row>
    <row r="39" customFormat="false" ht="12.75" hidden="false" customHeight="false" outlineLevel="0" collapsed="false">
      <c r="A39" s="258" t="n">
        <f aca="false">A37+1</f>
        <v>2002</v>
      </c>
      <c r="B39" s="848" t="n">
        <f aca="false">B38+1</f>
        <v>2</v>
      </c>
      <c r="C39" s="849" t="n">
        <f aca="false">F38</f>
        <v>75934.8027862155</v>
      </c>
      <c r="D39" s="61" t="n">
        <f aca="false">C39*F$32*0.5</f>
        <v>4181.16007841599</v>
      </c>
      <c r="E39" s="557" t="n">
        <f aca="false">IF(F$34=0,0,IF($B39&gt;=F$31,C39,IF(F$33&gt;=$B39,0,IF(C39&gt;1,CHOOSE(F$34,F$29/(F$31-F$33),-PMT(F$32/2,F$31-$B38,C39,0)-D39,F$29*$AH39)))))*Assm!$X$90</f>
        <v>569.456781751769</v>
      </c>
      <c r="F39" s="824" t="n">
        <f aca="false">C39-E39</f>
        <v>75365.3460044637</v>
      </c>
      <c r="G39" s="849" t="n">
        <f aca="false">J38</f>
        <v>0</v>
      </c>
      <c r="H39" s="61" t="n">
        <f aca="false">G39*J$32*0.5</f>
        <v>0</v>
      </c>
      <c r="I39" s="61" t="n">
        <f aca="false">IF(J$34=0,0,IF($B39&gt;=J$31,G39,IF(J$33&gt;=$B39,0,IF(G39&gt;1,CHOOSE(J$34,J$29/(J$31-J$33),-PMT(J$32/2,J$31-$B38,G39,0)-H39,J$29*$AJ39)))))</f>
        <v>0</v>
      </c>
      <c r="J39" s="824" t="n">
        <f aca="false">G39-I39</f>
        <v>0</v>
      </c>
      <c r="K39" s="849" t="n">
        <f aca="false">N38</f>
        <v>0</v>
      </c>
      <c r="L39" s="61" t="n">
        <f aca="false">K39*N$32*0.5</f>
        <v>0</v>
      </c>
      <c r="M39" s="61" t="n">
        <f aca="false">IF(N$34=0,0,IF($B39&gt;=N$31,K39,IF(N$33&gt;=$B39,0,IF(K39&gt;1,CHOOSE(N$34,N$29/(N$31-N$33),-PMT(N$32/2,N$31-$B38,K39,0)-L39,N$29*$AL39)))))</f>
        <v>0</v>
      </c>
      <c r="N39" s="824" t="n">
        <f aca="false">K39-M39</f>
        <v>0</v>
      </c>
      <c r="O39" s="849" t="n">
        <f aca="false">R38</f>
        <v>0</v>
      </c>
      <c r="P39" s="61" t="n">
        <f aca="false">O39*R$32*0.5</f>
        <v>0</v>
      </c>
      <c r="Q39" s="61" t="n">
        <f aca="false">IF(R$34=0,0,IF($B39&gt;=R$31,O39,IF(R$33&gt;=$B39,0,IF(O39&gt;1,CHOOSE(R$34,R$29/(R$31-R$33),-PMT(R$32/2,R$31-$B38,O39,0)-P39,R$29*$AN39)))))</f>
        <v>0</v>
      </c>
      <c r="R39" s="824" t="n">
        <f aca="false">O39-Q39</f>
        <v>0</v>
      </c>
      <c r="S39" s="849" t="n">
        <f aca="false">V38</f>
        <v>0</v>
      </c>
      <c r="T39" s="61" t="n">
        <f aca="false">S39*V$32*0.5</f>
        <v>0</v>
      </c>
      <c r="U39" s="61" t="n">
        <f aca="false">IF(V$34=0,0,IF($B39&gt;=V$31,S39,IF(V$33&gt;=$B39,0,IF(S39&gt;1,CHOOSE(V$34,V$29/(V$31-V$33),-PMT(V$32/2,V$31-$B38,S39,0)-T39,V$29*$AP39)))))</f>
        <v>0</v>
      </c>
      <c r="V39" s="824" t="n">
        <f aca="false">S39-U39</f>
        <v>0</v>
      </c>
      <c r="W39" s="849" t="n">
        <f aca="false">Z38</f>
        <v>21492.6890302453</v>
      </c>
      <c r="X39" s="61" t="n">
        <f aca="false">W39*Z$32*0.5</f>
        <v>1397.02478696594</v>
      </c>
      <c r="Y39" s="61" t="n">
        <f aca="false">IF(Z$34=0,0,IF($B39&gt;=Z$31,W39,IF(Z$33&gt;=$B39,0,IF(W39&gt;1,CHOOSE(Z$34,Z$29/(Z$31-Z$33),-PMT(Z$32/2,Z$31-$B38,W39,0)-X39,Z$29*$AR39)))))</f>
        <v>466.202309135807</v>
      </c>
      <c r="Z39" s="824" t="n">
        <f aca="false">W39-Y39</f>
        <v>21026.4867211095</v>
      </c>
      <c r="AA39" s="61"/>
      <c r="AB39" s="65"/>
      <c r="AC39" s="61"/>
      <c r="AD39" s="65"/>
      <c r="AE39" s="826"/>
      <c r="AG39" s="851" t="n">
        <f aca="false">-0.142857142856201+1500</f>
        <v>1499.85714285714</v>
      </c>
      <c r="AH39" s="852" t="n">
        <f aca="false">IF(AG$77=0,0,AG39/AG$77)</f>
        <v>0.00749928571428572</v>
      </c>
      <c r="AI39" s="853" t="n">
        <v>0</v>
      </c>
      <c r="AJ39" s="107" t="n">
        <f aca="false">IF(AI$77=0,0,AI39/AI$77)</f>
        <v>0</v>
      </c>
      <c r="AK39" s="853" t="n">
        <v>0</v>
      </c>
      <c r="AL39" s="107" t="n">
        <f aca="false">IF(AK$77=0,0,AK39/AK$77)</f>
        <v>0</v>
      </c>
      <c r="AM39" s="853" t="n">
        <v>0</v>
      </c>
      <c r="AN39" s="107" t="n">
        <f aca="false">IF(AM$77=0,0,AM39/AM$77)</f>
        <v>0</v>
      </c>
      <c r="AO39" s="853" t="n">
        <v>0</v>
      </c>
      <c r="AP39" s="107" t="n">
        <f aca="false">IF(AO$77=0,0,AO39/AO$77)</f>
        <v>0</v>
      </c>
      <c r="AQ39" s="853" t="n">
        <v>0</v>
      </c>
      <c r="AR39" s="89" t="n">
        <f aca="false">IF(AQ$77=0,0,AQ39/AQ$77)</f>
        <v>0</v>
      </c>
    </row>
    <row r="40" customFormat="false" ht="12.75" hidden="false" customHeight="false" outlineLevel="0" collapsed="false">
      <c r="A40" s="854" t="n">
        <f aca="false">A39</f>
        <v>2002</v>
      </c>
      <c r="B40" s="855" t="n">
        <f aca="false">B39+1</f>
        <v>3</v>
      </c>
      <c r="C40" s="856" t="n">
        <f aca="false">F39</f>
        <v>75365.3460044637</v>
      </c>
      <c r="D40" s="532" t="n">
        <f aca="false">C40*F$32*0.5</f>
        <v>4149.80436437078</v>
      </c>
      <c r="E40" s="858" t="n">
        <f aca="false">IF(F$34=0,0,IF($B40&gt;=F$31,C40,IF(F$33&gt;=$B40,0,IF(C40&gt;1,CHOOSE(F$34,F$29/(F$31-F$33),-PMT(F$32/2,F$31-$B39,C40,0)-D40,F$29*$AH40)))))*Assm!$X$90</f>
        <v>569.456781751769</v>
      </c>
      <c r="F40" s="859" t="n">
        <f aca="false">C40-E40</f>
        <v>74795.8892227119</v>
      </c>
      <c r="G40" s="856" t="n">
        <f aca="false">J39</f>
        <v>0</v>
      </c>
      <c r="H40" s="532" t="n">
        <f aca="false">G40*J$32*0.5</f>
        <v>0</v>
      </c>
      <c r="I40" s="532" t="n">
        <f aca="false">IF(J$34=0,0,IF($B40&gt;=J$31,G40,IF(J$33&gt;=$B40,0,IF(G40&gt;1,CHOOSE(J$34,J$29/(J$31-J$33),-PMT(J$32/2,J$31-$B39,G40,0)-H40,J$29*$AJ40)))))</f>
        <v>0</v>
      </c>
      <c r="J40" s="859" t="n">
        <f aca="false">G40-I40</f>
        <v>0</v>
      </c>
      <c r="K40" s="856" t="n">
        <f aca="false">N39</f>
        <v>0</v>
      </c>
      <c r="L40" s="532" t="n">
        <f aca="false">K40*N$32*0.5</f>
        <v>0</v>
      </c>
      <c r="M40" s="532" t="n">
        <f aca="false">IF(N$34=0,0,IF($B40&gt;=N$31,K40,IF(N$33&gt;=$B40,0,IF(K40&gt;1,CHOOSE(N$34,N$29/(N$31-N$33),-PMT(N$32/2,N$31-$B39,K40,0)-L40,N$29*$AL40)))))</f>
        <v>0</v>
      </c>
      <c r="N40" s="859" t="n">
        <f aca="false">K40-M40</f>
        <v>0</v>
      </c>
      <c r="O40" s="856" t="n">
        <f aca="false">R39</f>
        <v>0</v>
      </c>
      <c r="P40" s="532" t="n">
        <f aca="false">O40*R$32*0.5</f>
        <v>0</v>
      </c>
      <c r="Q40" s="532" t="n">
        <f aca="false">IF(R$34=0,0,IF($B40&gt;=R$31,O40,IF(R$33&gt;=$B40,0,IF(O40&gt;1,CHOOSE(R$34,R$29/(R$31-R$33),-PMT(R$32/2,R$31-$B39,O40,0)-P40,R$29*$AN40)))))</f>
        <v>0</v>
      </c>
      <c r="R40" s="859" t="n">
        <f aca="false">O40-Q40</f>
        <v>0</v>
      </c>
      <c r="S40" s="856" t="n">
        <f aca="false">V39</f>
        <v>0</v>
      </c>
      <c r="T40" s="532" t="n">
        <f aca="false">S40*V$32*0.5</f>
        <v>0</v>
      </c>
      <c r="U40" s="532" t="n">
        <f aca="false">IF(V$34=0,0,IF($B40&gt;=V$31,S40,IF(V$33&gt;=$B40,0,IF(S40&gt;1,CHOOSE(V$34,V$29/(V$31-V$33),-PMT(V$32/2,V$31-$B39,S40,0)-T40,V$29*$AP40)))))</f>
        <v>0</v>
      </c>
      <c r="V40" s="859" t="n">
        <f aca="false">S40-U40</f>
        <v>0</v>
      </c>
      <c r="W40" s="856" t="n">
        <f aca="false">Z39</f>
        <v>21026.4867211095</v>
      </c>
      <c r="X40" s="532" t="n">
        <f aca="false">W40*Z$32*0.5</f>
        <v>1366.72163687212</v>
      </c>
      <c r="Y40" s="532" t="n">
        <f aca="false">IF(Z$34=0,0,IF($B40&gt;=Z$31,W40,IF(Z$33&gt;=$B40,0,IF(W40&gt;1,CHOOSE(Z$34,Z$29/(Z$31-Z$33),-PMT(Z$32/2,Z$31-$B39,W40,0)-X40,Z$29*$AR40)))))</f>
        <v>496.505459229634</v>
      </c>
      <c r="Z40" s="859" t="n">
        <f aca="false">W40-Y40</f>
        <v>20529.9812618798</v>
      </c>
      <c r="AA40" s="532" t="n">
        <f aca="false">SUM(D39:D40,H39:H40,L39:L40,P39:P40,T39:T40)</f>
        <v>8330.96444278677</v>
      </c>
      <c r="AB40" s="860" t="n">
        <f aca="false">SUM(E39:E40,I39:I40,M39:M40,Q39:Q40,U39:U40)</f>
        <v>1138.91356350354</v>
      </c>
      <c r="AC40" s="532" t="n">
        <f aca="false">SUM(X39:X40)</f>
        <v>2763.74642383806</v>
      </c>
      <c r="AD40" s="860" t="n">
        <f aca="false">SUM(Y39:Y40)</f>
        <v>962.707768365441</v>
      </c>
      <c r="AE40" s="861" t="n">
        <f aca="false">(C39+G39+W39)*IF([1]RAROC!$B$103=1,VLOOKUP(A40,[2]!Guar_Fee_Table,2),IF([1]RAROC!$B$103=2,VLOOKUP(A40,[2]!Guar_Fee_Table,3),IF([1]RAROC!$B$103=3,VLOOKUP(A40,[2]!Guar_Fee_Table,4,0))))</f>
        <v>3897.09967265843</v>
      </c>
      <c r="AG40" s="851" t="n">
        <f aca="false">-0.142857142856201+1500</f>
        <v>1499.85714285714</v>
      </c>
      <c r="AH40" s="852" t="n">
        <f aca="false">IF(AG$77=0,0,AG40/AG$77)</f>
        <v>0.00749928571428572</v>
      </c>
      <c r="AI40" s="853" t="n">
        <v>0</v>
      </c>
      <c r="AJ40" s="107" t="n">
        <f aca="false">IF(AI$77=0,0,AI40/AI$77)</f>
        <v>0</v>
      </c>
      <c r="AK40" s="853" t="n">
        <v>0</v>
      </c>
      <c r="AL40" s="107" t="n">
        <f aca="false">IF(AK$77=0,0,AK40/AK$77)</f>
        <v>0</v>
      </c>
      <c r="AM40" s="853" t="n">
        <v>0</v>
      </c>
      <c r="AN40" s="107" t="n">
        <f aca="false">IF(AM$77=0,0,AM40/AM$77)</f>
        <v>0</v>
      </c>
      <c r="AO40" s="853" t="n">
        <v>0</v>
      </c>
      <c r="AP40" s="107" t="n">
        <f aca="false">IF(AO$77=0,0,AO40/AO$77)</f>
        <v>0</v>
      </c>
      <c r="AQ40" s="853" t="n">
        <v>0</v>
      </c>
      <c r="AR40" s="89" t="n">
        <f aca="false">IF(AQ$77=0,0,AQ40/AQ$77)</f>
        <v>0</v>
      </c>
    </row>
    <row r="41" customFormat="false" ht="12.75" hidden="false" customHeight="false" outlineLevel="0" collapsed="false">
      <c r="A41" s="258" t="n">
        <f aca="false">A39+1</f>
        <v>2003</v>
      </c>
      <c r="B41" s="848" t="n">
        <f aca="false">B40+1</f>
        <v>4</v>
      </c>
      <c r="C41" s="849" t="n">
        <f aca="false">F40</f>
        <v>74795.8892227119</v>
      </c>
      <c r="D41" s="61" t="n">
        <f aca="false">C41*F$32*0.5</f>
        <v>4118.44865032558</v>
      </c>
      <c r="E41" s="557" t="n">
        <f aca="false">IF(F$34=0,0,IF($B41&gt;=F$31,C41,IF(F$33&gt;=$B41,0,IF(C41&gt;1,CHOOSE(F$34,F$29/(F$31-F$33),-PMT(F$32/2,F$31-$B40,C41,0)-D41,F$29*$AH41)))))*Assm!$X$90</f>
        <v>965.456778281881</v>
      </c>
      <c r="F41" s="824" t="n">
        <f aca="false">C41-E41</f>
        <v>73830.43244443</v>
      </c>
      <c r="G41" s="849" t="n">
        <f aca="false">J40</f>
        <v>0</v>
      </c>
      <c r="H41" s="61" t="n">
        <f aca="false">G41*J$32*0.5</f>
        <v>0</v>
      </c>
      <c r="I41" s="61" t="n">
        <f aca="false">IF(J$34=0,0,IF($B41&gt;=J$31,G41,IF(J$33&gt;=$B41,0,IF(G41&gt;1,CHOOSE(J$34,J$29/(J$31-J$33),-PMT(J$32/2,J$31-$B40,G41,0)-H41,J$29*$AJ41)))))</f>
        <v>0</v>
      </c>
      <c r="J41" s="824" t="n">
        <f aca="false">G41-I41</f>
        <v>0</v>
      </c>
      <c r="K41" s="849" t="n">
        <f aca="false">N40</f>
        <v>0</v>
      </c>
      <c r="L41" s="61" t="n">
        <f aca="false">K41*N$32*0.5</f>
        <v>0</v>
      </c>
      <c r="M41" s="61" t="n">
        <f aca="false">IF(N$34=0,0,IF($B41&gt;=N$31,K41,IF(N$33&gt;=$B41,0,IF(K41&gt;1,CHOOSE(N$34,N$29/(N$31-N$33),-PMT(N$32/2,N$31-$B40,K41,0)-L41,N$29*$AL41)))))</f>
        <v>0</v>
      </c>
      <c r="N41" s="824" t="n">
        <f aca="false">K41-M41</f>
        <v>0</v>
      </c>
      <c r="O41" s="849" t="n">
        <f aca="false">R40</f>
        <v>0</v>
      </c>
      <c r="P41" s="61" t="n">
        <f aca="false">O41*R$32*0.5</f>
        <v>0</v>
      </c>
      <c r="Q41" s="61" t="n">
        <f aca="false">IF(R$34=0,0,IF($B41&gt;=R$31,O41,IF(R$33&gt;=$B41,0,IF(O41&gt;1,CHOOSE(R$34,R$29/(R$31-R$33),-PMT(R$32/2,R$31-$B40,O41,0)-P41,R$29*$AN41)))))</f>
        <v>0</v>
      </c>
      <c r="R41" s="824" t="n">
        <f aca="false">O41-Q41</f>
        <v>0</v>
      </c>
      <c r="S41" s="849" t="n">
        <f aca="false">V40</f>
        <v>0</v>
      </c>
      <c r="T41" s="61" t="n">
        <f aca="false">S41*V$32*0.5</f>
        <v>0</v>
      </c>
      <c r="U41" s="61" t="n">
        <f aca="false">IF(V$34=0,0,IF($B41&gt;=V$31,S41,IF(V$33&gt;=$B41,0,IF(S41&gt;1,CHOOSE(V$34,V$29/(V$31-V$33),-PMT(V$32/2,V$31-$B40,S41,0)-T41,V$29*$AP41)))))</f>
        <v>0</v>
      </c>
      <c r="V41" s="824" t="n">
        <f aca="false">S41-U41</f>
        <v>0</v>
      </c>
      <c r="W41" s="849" t="n">
        <f aca="false">Z40</f>
        <v>20529.9812618798</v>
      </c>
      <c r="X41" s="61" t="n">
        <f aca="false">W41*Z$32*0.5</f>
        <v>1334.44878202219</v>
      </c>
      <c r="Y41" s="61" t="n">
        <f aca="false">IF(Z$34=0,0,IF($B41&gt;=Z$31,W41,IF(Z$33&gt;=$B41,0,IF(W41&gt;1,CHOOSE(Z$34,Z$29/(Z$31-Z$33),-PMT(Z$32/2,Z$31-$B40,W41,0)-X41,Z$29*$AR41)))))</f>
        <v>528.77831407956</v>
      </c>
      <c r="Z41" s="824" t="n">
        <f aca="false">W41-Y41</f>
        <v>20001.2029478003</v>
      </c>
      <c r="AA41" s="61"/>
      <c r="AB41" s="65"/>
      <c r="AC41" s="61"/>
      <c r="AD41" s="65"/>
      <c r="AE41" s="826"/>
      <c r="AG41" s="851" t="n">
        <f aca="false">2742.85714285714-200</f>
        <v>2542.85714285714</v>
      </c>
      <c r="AH41" s="852" t="n">
        <f aca="false">IF(AG$77=0,0,AG41/AG$77)</f>
        <v>0.0127142857142857</v>
      </c>
      <c r="AI41" s="853" t="n">
        <v>0</v>
      </c>
      <c r="AJ41" s="107" t="n">
        <f aca="false">IF(AI$77=0,0,AI41/AI$77)</f>
        <v>0</v>
      </c>
      <c r="AK41" s="853" t="n">
        <v>0</v>
      </c>
      <c r="AL41" s="107" t="n">
        <f aca="false">IF(AK$77=0,0,AK41/AK$77)</f>
        <v>0</v>
      </c>
      <c r="AM41" s="853" t="n">
        <v>0</v>
      </c>
      <c r="AN41" s="107" t="n">
        <f aca="false">IF(AM$77=0,0,AM41/AM$77)</f>
        <v>0</v>
      </c>
      <c r="AO41" s="853" t="n">
        <v>0</v>
      </c>
      <c r="AP41" s="107" t="n">
        <f aca="false">IF(AO$77=0,0,AO41/AO$77)</f>
        <v>0</v>
      </c>
      <c r="AQ41" s="853" t="n">
        <v>0</v>
      </c>
      <c r="AR41" s="89" t="n">
        <f aca="false">IF(AQ$77=0,0,AQ41/AQ$77)</f>
        <v>0</v>
      </c>
    </row>
    <row r="42" customFormat="false" ht="12.75" hidden="false" customHeight="false" outlineLevel="0" collapsed="false">
      <c r="A42" s="854" t="n">
        <f aca="false">A40+1</f>
        <v>2003</v>
      </c>
      <c r="B42" s="855" t="n">
        <f aca="false">B41+1</f>
        <v>5</v>
      </c>
      <c r="C42" s="856" t="n">
        <f aca="false">F41</f>
        <v>73830.43244443</v>
      </c>
      <c r="D42" s="532" t="n">
        <f aca="false">C42*F$32*0.5</f>
        <v>4065.28818647143</v>
      </c>
      <c r="E42" s="858" t="n">
        <f aca="false">IF(F$34=0,0,IF($B42&gt;=F$31,C42,IF(F$33&gt;=$B42,0,IF(C42&gt;1,CHOOSE(F$34,F$29/(F$31-F$33),-PMT(F$32/2,F$31-$B41,C42,0)-D42,F$29*$AH42)))))*Assm!$X$90</f>
        <v>965.456778281881</v>
      </c>
      <c r="F42" s="859" t="n">
        <f aca="false">C42-E42</f>
        <v>72864.9756661482</v>
      </c>
      <c r="G42" s="856" t="n">
        <f aca="false">J41</f>
        <v>0</v>
      </c>
      <c r="H42" s="532" t="n">
        <f aca="false">G42*J$32*0.5</f>
        <v>0</v>
      </c>
      <c r="I42" s="532" t="n">
        <f aca="false">IF(J$34=0,0,IF($B42&gt;=J$31,G42,IF(J$33&gt;=$B42,0,IF(G42&gt;1,CHOOSE(J$34,J$29/(J$31-J$33),-PMT(J$32/2,J$31-$B41,G42,0)-H42,J$29*$AJ42)))))</f>
        <v>0</v>
      </c>
      <c r="J42" s="859" t="n">
        <f aca="false">G42-I42</f>
        <v>0</v>
      </c>
      <c r="K42" s="856" t="n">
        <f aca="false">N41</f>
        <v>0</v>
      </c>
      <c r="L42" s="532" t="n">
        <f aca="false">K42*N$32*0.5</f>
        <v>0</v>
      </c>
      <c r="M42" s="532" t="n">
        <f aca="false">IF(N$34=0,0,IF($B42&gt;=N$31,K42,IF(N$33&gt;=$B42,0,IF(K42&gt;1,CHOOSE(N$34,N$29/(N$31-N$33),-PMT(N$32/2,N$31-$B41,K42,0)-L42,N$29*$AL42)))))</f>
        <v>0</v>
      </c>
      <c r="N42" s="859" t="n">
        <f aca="false">K42-M42</f>
        <v>0</v>
      </c>
      <c r="O42" s="856" t="n">
        <f aca="false">R41</f>
        <v>0</v>
      </c>
      <c r="P42" s="532" t="n">
        <f aca="false">O42*R$32*0.5</f>
        <v>0</v>
      </c>
      <c r="Q42" s="532" t="n">
        <f aca="false">IF(R$34=0,0,IF($B42&gt;=R$31,O42,IF(R$33&gt;=$B42,0,IF(O42&gt;1,CHOOSE(R$34,R$29/(R$31-R$33),-PMT(R$32/2,R$31-$B41,O42,0)-P42,R$29*$AN42)))))</f>
        <v>0</v>
      </c>
      <c r="R42" s="859" t="n">
        <f aca="false">O42-Q42</f>
        <v>0</v>
      </c>
      <c r="S42" s="856" t="n">
        <f aca="false">V41</f>
        <v>0</v>
      </c>
      <c r="T42" s="532" t="n">
        <f aca="false">S42*V$32*0.5</f>
        <v>0</v>
      </c>
      <c r="U42" s="532" t="n">
        <f aca="false">IF(V$34=0,0,IF($B42&gt;=V$31,S42,IF(V$33&gt;=$B42,0,IF(S42&gt;1,CHOOSE(V$34,V$29/(V$31-V$33),-PMT(V$32/2,V$31-$B41,S42,0)-T42,V$29*$AP42)))))</f>
        <v>0</v>
      </c>
      <c r="V42" s="859" t="n">
        <f aca="false">S42-U42</f>
        <v>0</v>
      </c>
      <c r="W42" s="856" t="n">
        <f aca="false">Z41</f>
        <v>20001.2029478003</v>
      </c>
      <c r="X42" s="532" t="n">
        <f aca="false">W42*Z$32*0.5</f>
        <v>1300.07819160702</v>
      </c>
      <c r="Y42" s="532" t="n">
        <f aca="false">IF(Z$34=0,0,IF($B42&gt;=Z$31,W42,IF(Z$33&gt;=$B42,0,IF(W42&gt;1,CHOOSE(Z$34,Z$29/(Z$31-Z$33),-PMT(Z$32/2,Z$31-$B41,W42,0)-X42,Z$29*$AR42)))))</f>
        <v>563.148904494732</v>
      </c>
      <c r="Z42" s="859" t="n">
        <f aca="false">W42-Y42</f>
        <v>19438.0540433055</v>
      </c>
      <c r="AA42" s="532" t="n">
        <f aca="false">SUM(D41:D42,H41:H42,L41:L42,P41:P42,T41:T42)</f>
        <v>8183.73683679701</v>
      </c>
      <c r="AB42" s="860" t="n">
        <f aca="false">SUM(E41:E42,I41:I42,M41:M42,Q41:Q42,U41:U42)</f>
        <v>1930.91355656376</v>
      </c>
      <c r="AC42" s="532" t="n">
        <f aca="false">SUM(X41:X42)</f>
        <v>2634.52697362921</v>
      </c>
      <c r="AD42" s="860" t="n">
        <f aca="false">SUM(Y41:Y42)</f>
        <v>1091.92721857429</v>
      </c>
      <c r="AE42" s="861" t="n">
        <f aca="false">(C41+G41+W41)*IF([1]RAROC!$B$103=1,VLOOKUP(A42,[2]!Guar_Fee_Table,2),IF([1]RAROC!$B$103=2,VLOOKUP(A42,[2]!Guar_Fee_Table,3),IF([1]RAROC!$B$103=3,VLOOKUP(A42,[2]!Guar_Fee_Table,4,0))))</f>
        <v>3813.03481938367</v>
      </c>
      <c r="AG42" s="851" t="n">
        <f aca="false">2742.85714285714-200</f>
        <v>2542.85714285714</v>
      </c>
      <c r="AH42" s="852" t="n">
        <f aca="false">IF(AG$77=0,0,AG42/AG$77)</f>
        <v>0.0127142857142857</v>
      </c>
      <c r="AI42" s="853" t="n">
        <v>0</v>
      </c>
      <c r="AJ42" s="107" t="n">
        <f aca="false">IF(AI$77=0,0,AI42/AI$77)</f>
        <v>0</v>
      </c>
      <c r="AK42" s="853" t="n">
        <v>0</v>
      </c>
      <c r="AL42" s="107" t="n">
        <f aca="false">IF(AK$77=0,0,AK42/AK$77)</f>
        <v>0</v>
      </c>
      <c r="AM42" s="853" t="n">
        <v>0</v>
      </c>
      <c r="AN42" s="107" t="n">
        <f aca="false">IF(AM$77=0,0,AM42/AM$77)</f>
        <v>0</v>
      </c>
      <c r="AO42" s="853" t="n">
        <v>0</v>
      </c>
      <c r="AP42" s="107" t="n">
        <f aca="false">IF(AO$77=0,0,AO42/AO$77)</f>
        <v>0</v>
      </c>
      <c r="AQ42" s="853" t="n">
        <v>0</v>
      </c>
      <c r="AR42" s="89" t="n">
        <f aca="false">IF(AQ$77=0,0,AQ42/AQ$77)</f>
        <v>0</v>
      </c>
    </row>
    <row r="43" customFormat="false" ht="12.75" hidden="false" customHeight="false" outlineLevel="0" collapsed="false">
      <c r="A43" s="258" t="n">
        <f aca="false">A41+1</f>
        <v>2004</v>
      </c>
      <c r="B43" s="848" t="n">
        <f aca="false">B42+1</f>
        <v>6</v>
      </c>
      <c r="C43" s="849" t="n">
        <f aca="false">F42</f>
        <v>72864.9756661482</v>
      </c>
      <c r="D43" s="61" t="n">
        <f aca="false">C43*F$32*0.5</f>
        <v>4012.12772261728</v>
      </c>
      <c r="E43" s="557" t="n">
        <f aca="false">IF(F$34=0,0,IF($B43&gt;=F$31,C43,IF(F$33&gt;=$B43,0,IF(C43&gt;1,CHOOSE(F$34,F$29/(F$31-F$33),-PMT(F$32/2,F$31-$B42,C43,0)-D43,F$29*$AH43)))))*Assm!$X$90</f>
        <v>2711.95724236484</v>
      </c>
      <c r="F43" s="824" t="n">
        <f aca="false">C43-E43</f>
        <v>70153.0184237833</v>
      </c>
      <c r="G43" s="849" t="n">
        <f aca="false">J42</f>
        <v>0</v>
      </c>
      <c r="H43" s="61" t="n">
        <f aca="false">G43*J$32*0.5</f>
        <v>0</v>
      </c>
      <c r="I43" s="61" t="n">
        <f aca="false">IF(J$34=0,0,IF($B43&gt;=J$31,G43,IF(J$33&gt;=$B43,0,IF(G43&gt;1,CHOOSE(J$34,J$29/(J$31-J$33),-PMT(J$32/2,J$31-$B42,G43,0)-H43,J$29*$AJ43)))))</f>
        <v>0</v>
      </c>
      <c r="J43" s="824" t="n">
        <f aca="false">G43-I43</f>
        <v>0</v>
      </c>
      <c r="K43" s="849" t="n">
        <f aca="false">N42</f>
        <v>0</v>
      </c>
      <c r="L43" s="61" t="n">
        <f aca="false">K43*N$32*0.5</f>
        <v>0</v>
      </c>
      <c r="M43" s="61" t="n">
        <f aca="false">IF(N$34=0,0,IF($B43&gt;=N$31,K43,IF(N$33&gt;=$B43,0,IF(K43&gt;1,CHOOSE(N$34,N$29/(N$31-N$33),-PMT(N$32/2,N$31-$B42,K43,0)-L43,N$29*$AL43)))))</f>
        <v>0</v>
      </c>
      <c r="N43" s="824" t="n">
        <f aca="false">K43-M43</f>
        <v>0</v>
      </c>
      <c r="O43" s="849" t="n">
        <f aca="false">R42</f>
        <v>0</v>
      </c>
      <c r="P43" s="61" t="n">
        <f aca="false">O43*R$32*0.5</f>
        <v>0</v>
      </c>
      <c r="Q43" s="61" t="n">
        <f aca="false">IF(R$34=0,0,IF($B43&gt;=R$31,O43,IF(R$33&gt;=$B43,0,IF(O43&gt;1,CHOOSE(R$34,R$29/(R$31-R$33),-PMT(R$32/2,R$31-$B42,O43,0)-P43,R$29*$AN43)))))</f>
        <v>0</v>
      </c>
      <c r="R43" s="824" t="n">
        <f aca="false">O43-Q43</f>
        <v>0</v>
      </c>
      <c r="S43" s="849" t="n">
        <f aca="false">V42</f>
        <v>0</v>
      </c>
      <c r="T43" s="61" t="n">
        <f aca="false">S43*V$32*0.5</f>
        <v>0</v>
      </c>
      <c r="U43" s="61" t="n">
        <f aca="false">IF(V$34=0,0,IF($B43&gt;=V$31,S43,IF(V$33&gt;=$B43,0,IF(S43&gt;1,CHOOSE(V$34,V$29/(V$31-V$33),-PMT(V$32/2,V$31-$B42,S43,0)-T43,V$29*$AP43)))))</f>
        <v>0</v>
      </c>
      <c r="V43" s="824" t="n">
        <f aca="false">S43-U43</f>
        <v>0</v>
      </c>
      <c r="W43" s="849" t="n">
        <f aca="false">Z42</f>
        <v>19438.0540433055</v>
      </c>
      <c r="X43" s="61" t="n">
        <f aca="false">W43*Z$32*0.5</f>
        <v>1263.47351281486</v>
      </c>
      <c r="Y43" s="61" t="n">
        <f aca="false">IF(Z$34=0,0,IF($B43&gt;=Z$31,W43,IF(Z$33&gt;=$B43,0,IF(W43&gt;1,CHOOSE(Z$34,Z$29/(Z$31-Z$33),-PMT(Z$32/2,Z$31-$B42,W43,0)-X43,Z$29*$AR43)))))</f>
        <v>599.753583286889</v>
      </c>
      <c r="Z43" s="824" t="n">
        <f aca="false">W43-Y43</f>
        <v>18838.3004600186</v>
      </c>
      <c r="AA43" s="61"/>
      <c r="AB43" s="65"/>
      <c r="AC43" s="61"/>
      <c r="AD43" s="65"/>
      <c r="AE43" s="826"/>
      <c r="AG43" s="851" t="n">
        <v>7142.85714285714</v>
      </c>
      <c r="AH43" s="852" t="n">
        <f aca="false">IF(AG$77=0,0,AG43/AG$77)</f>
        <v>0.0357142857142857</v>
      </c>
      <c r="AI43" s="853" t="n">
        <v>0</v>
      </c>
      <c r="AJ43" s="107" t="n">
        <f aca="false">IF(AI$77=0,0,AI43/AI$77)</f>
        <v>0</v>
      </c>
      <c r="AK43" s="853" t="n">
        <v>0</v>
      </c>
      <c r="AL43" s="107" t="n">
        <f aca="false">IF(AK$77=0,0,AK43/AK$77)</f>
        <v>0</v>
      </c>
      <c r="AM43" s="853" t="n">
        <v>0</v>
      </c>
      <c r="AN43" s="107" t="n">
        <f aca="false">IF(AM$77=0,0,AM43/AM$77)</f>
        <v>0</v>
      </c>
      <c r="AO43" s="853" t="n">
        <v>0</v>
      </c>
      <c r="AP43" s="107" t="n">
        <f aca="false">IF(AO$77=0,0,AO43/AO$77)</f>
        <v>0</v>
      </c>
      <c r="AQ43" s="853" t="n">
        <v>0</v>
      </c>
      <c r="AR43" s="89" t="n">
        <f aca="false">IF(AQ$77=0,0,AQ43/AQ$77)</f>
        <v>0</v>
      </c>
    </row>
    <row r="44" customFormat="false" ht="12.75" hidden="false" customHeight="false" outlineLevel="0" collapsed="false">
      <c r="A44" s="854" t="n">
        <f aca="false">A43</f>
        <v>2004</v>
      </c>
      <c r="B44" s="855" t="n">
        <f aca="false">B43+1</f>
        <v>7</v>
      </c>
      <c r="C44" s="856" t="n">
        <f aca="false">F43</f>
        <v>70153.0184237833</v>
      </c>
      <c r="D44" s="532" t="n">
        <f aca="false">C44*F$32*0.5</f>
        <v>3862.80057695957</v>
      </c>
      <c r="E44" s="858" t="n">
        <f aca="false">IF(F$34=0,0,IF($B44&gt;=F$31,C44,IF(F$33&gt;=$B44,0,IF(C44&gt;1,CHOOSE(F$34,F$29/(F$31-F$33),-PMT(F$32/2,F$31-$B43,C44,0)-D44,F$29*$AH44)))))*Assm!$X$90</f>
        <v>2711.95724236484</v>
      </c>
      <c r="F44" s="859" t="n">
        <f aca="false">C44-E44</f>
        <v>67441.0611814185</v>
      </c>
      <c r="G44" s="856" t="n">
        <f aca="false">J43</f>
        <v>0</v>
      </c>
      <c r="H44" s="532" t="n">
        <f aca="false">G44*J$32*0.5</f>
        <v>0</v>
      </c>
      <c r="I44" s="532" t="n">
        <f aca="false">IF(J$34=0,0,IF($B44&gt;=J$31,G44,IF(J$33&gt;=$B44,0,IF(G44&gt;1,CHOOSE(J$34,J$29/(J$31-J$33),-PMT(J$32/2,J$31-$B43,G44,0)-H44,J$29*$AJ44)))))</f>
        <v>0</v>
      </c>
      <c r="J44" s="859" t="n">
        <f aca="false">G44-I44</f>
        <v>0</v>
      </c>
      <c r="K44" s="856" t="n">
        <f aca="false">N43</f>
        <v>0</v>
      </c>
      <c r="L44" s="532" t="n">
        <f aca="false">K44*N$32*0.5</f>
        <v>0</v>
      </c>
      <c r="M44" s="532" t="n">
        <f aca="false">IF(N$34=0,0,IF($B44&gt;=N$31,K44,IF(N$33&gt;=$B44,0,IF(K44&gt;1,CHOOSE(N$34,N$29/(N$31-N$33),-PMT(N$32/2,N$31-$B43,K44,0)-L44,N$29*$AL44)))))</f>
        <v>0</v>
      </c>
      <c r="N44" s="859" t="n">
        <f aca="false">K44-M44</f>
        <v>0</v>
      </c>
      <c r="O44" s="856" t="n">
        <f aca="false">R43</f>
        <v>0</v>
      </c>
      <c r="P44" s="532" t="n">
        <f aca="false">O44*R$32*0.5</f>
        <v>0</v>
      </c>
      <c r="Q44" s="532" t="n">
        <f aca="false">IF(R$34=0,0,IF($B44&gt;=R$31,O44,IF(R$33&gt;=$B44,0,IF(O44&gt;1,CHOOSE(R$34,R$29/(R$31-R$33),-PMT(R$32/2,R$31-$B43,O44,0)-P44,R$29*$AN44)))))</f>
        <v>0</v>
      </c>
      <c r="R44" s="859" t="n">
        <f aca="false">O44-Q44</f>
        <v>0</v>
      </c>
      <c r="S44" s="856" t="n">
        <f aca="false">V43</f>
        <v>0</v>
      </c>
      <c r="T44" s="532" t="n">
        <f aca="false">S44*V$32*0.5</f>
        <v>0</v>
      </c>
      <c r="U44" s="532" t="n">
        <f aca="false">IF(V$34=0,0,IF($B44&gt;=V$31,S44,IF(V$33&gt;=$B44,0,IF(S44&gt;1,CHOOSE(V$34,V$29/(V$31-V$33),-PMT(V$32/2,V$31-$B43,S44,0)-T44,V$29*$AP44)))))</f>
        <v>0</v>
      </c>
      <c r="V44" s="859" t="n">
        <f aca="false">S44-U44</f>
        <v>0</v>
      </c>
      <c r="W44" s="856" t="n">
        <f aca="false">Z43</f>
        <v>18838.3004600186</v>
      </c>
      <c r="X44" s="532" t="n">
        <f aca="false">W44*Z$32*0.5</f>
        <v>1224.48952990121</v>
      </c>
      <c r="Y44" s="532" t="n">
        <f aca="false">IF(Z$34=0,0,IF($B44&gt;=Z$31,W44,IF(Z$33&gt;=$B44,0,IF(W44&gt;1,CHOOSE(Z$34,Z$29/(Z$31-Z$33),-PMT(Z$32/2,Z$31-$B43,W44,0)-X44,Z$29*$AR44)))))</f>
        <v>638.737566200538</v>
      </c>
      <c r="Z44" s="859" t="n">
        <f aca="false">W44-Y44</f>
        <v>18199.5628938181</v>
      </c>
      <c r="AA44" s="532" t="n">
        <f aca="false">SUM(D43:D44,H43:H44,L43:L44,P43:P44,T43:T44)</f>
        <v>7874.92829957685</v>
      </c>
      <c r="AB44" s="860" t="n">
        <f aca="false">SUM(E43:E44,I43:I44,M43:M44,Q43:Q44,U43:U44)</f>
        <v>5423.91448472967</v>
      </c>
      <c r="AC44" s="532" t="n">
        <f aca="false">SUM(X43:X44)</f>
        <v>2487.96304271607</v>
      </c>
      <c r="AD44" s="860" t="n">
        <f aca="false">SUM(Y43:Y44)</f>
        <v>1238.49114948743</v>
      </c>
      <c r="AE44" s="861" t="n">
        <f aca="false">(C43+G43+W43)*IF([1]RAROC!$B$103=1,VLOOKUP(A44,[2]!Guar_Fee_Table,2),IF([1]RAROC!$B$103=2,VLOOKUP(A44,[2]!Guar_Fee_Table,3),IF([1]RAROC!$B$103=3,VLOOKUP(A44,[2]!Guar_Fee_Table,4,0))))</f>
        <v>0</v>
      </c>
      <c r="AG44" s="851" t="n">
        <v>7142.85714285714</v>
      </c>
      <c r="AH44" s="852" t="n">
        <f aca="false">IF(AG$77=0,0,AG44/AG$77)</f>
        <v>0.0357142857142857</v>
      </c>
      <c r="AI44" s="853" t="n">
        <v>0</v>
      </c>
      <c r="AJ44" s="107" t="n">
        <f aca="false">IF(AI$77=0,0,AI44/AI$77)</f>
        <v>0</v>
      </c>
      <c r="AK44" s="853" t="n">
        <v>0</v>
      </c>
      <c r="AL44" s="107" t="n">
        <f aca="false">IF(AK$77=0,0,AK44/AK$77)</f>
        <v>0</v>
      </c>
      <c r="AM44" s="853" t="n">
        <v>0</v>
      </c>
      <c r="AN44" s="107" t="n">
        <f aca="false">IF(AM$77=0,0,AM44/AM$77)</f>
        <v>0</v>
      </c>
      <c r="AO44" s="853" t="n">
        <v>0</v>
      </c>
      <c r="AP44" s="107" t="n">
        <f aca="false">IF(AO$77=0,0,AO44/AO$77)</f>
        <v>0</v>
      </c>
      <c r="AQ44" s="853" t="n">
        <v>0</v>
      </c>
      <c r="AR44" s="89" t="n">
        <f aca="false">IF(AQ$77=0,0,AQ44/AQ$77)</f>
        <v>0</v>
      </c>
    </row>
    <row r="45" customFormat="false" ht="12.75" hidden="false" customHeight="false" outlineLevel="0" collapsed="false">
      <c r="A45" s="258" t="n">
        <f aca="false">A43+1</f>
        <v>2005</v>
      </c>
      <c r="B45" s="848" t="n">
        <f aca="false">B44+1</f>
        <v>8</v>
      </c>
      <c r="C45" s="849" t="n">
        <f aca="false">F44</f>
        <v>67441.0611814185</v>
      </c>
      <c r="D45" s="61" t="n">
        <f aca="false">C45*F$32*0.5</f>
        <v>3713.47343130186</v>
      </c>
      <c r="E45" s="557" t="n">
        <f aca="false">IF(F$34=0,0,IF($B45&gt;=F$31,C45,IF(F$33&gt;=$B45,0,IF(C45&gt;1,CHOOSE(F$34,F$29/(F$31-F$33),-PMT(F$32/2,F$31-$B44,C45,0)-D45,F$29*$AH45)))))*Assm!$X$90</f>
        <v>3270.11420227342</v>
      </c>
      <c r="F45" s="824" t="n">
        <f aca="false">C45-E45</f>
        <v>64170.9469791451</v>
      </c>
      <c r="G45" s="849" t="n">
        <f aca="false">J44</f>
        <v>0</v>
      </c>
      <c r="H45" s="61" t="n">
        <f aca="false">G45*J$32*0.5</f>
        <v>0</v>
      </c>
      <c r="I45" s="61" t="n">
        <f aca="false">IF(J$34=0,0,IF($B45&gt;=J$31,G45,IF(J$33&gt;=$B45,0,IF(G45&gt;1,CHOOSE(J$34,J$29/(J$31-J$33),-PMT(J$32/2,J$31-$B44,G45,0)-H45,J$29*$AJ45)))))</f>
        <v>0</v>
      </c>
      <c r="J45" s="824" t="n">
        <f aca="false">G45-I45</f>
        <v>0</v>
      </c>
      <c r="K45" s="849" t="n">
        <f aca="false">N44</f>
        <v>0</v>
      </c>
      <c r="L45" s="61" t="n">
        <f aca="false">K45*N$32*0.5</f>
        <v>0</v>
      </c>
      <c r="M45" s="61" t="n">
        <f aca="false">IF(N$34=0,0,IF($B45&gt;=N$31,K45,IF(N$33&gt;=$B45,0,IF(K45&gt;1,CHOOSE(N$34,N$29/(N$31-N$33),-PMT(N$32/2,N$31-$B44,K45,0)-L45,N$29*$AL45)))))</f>
        <v>0</v>
      </c>
      <c r="N45" s="824" t="n">
        <f aca="false">K45-M45</f>
        <v>0</v>
      </c>
      <c r="O45" s="849" t="n">
        <f aca="false">R44</f>
        <v>0</v>
      </c>
      <c r="P45" s="61" t="n">
        <f aca="false">O45*R$32*0.5</f>
        <v>0</v>
      </c>
      <c r="Q45" s="61" t="n">
        <f aca="false">IF(R$34=0,0,IF($B45&gt;=R$31,O45,IF(R$33&gt;=$B45,0,IF(O45&gt;1,CHOOSE(R$34,R$29/(R$31-R$33),-PMT(R$32/2,R$31-$B44,O45,0)-P45,R$29*$AN45)))))</f>
        <v>0</v>
      </c>
      <c r="R45" s="824" t="n">
        <f aca="false">O45-Q45</f>
        <v>0</v>
      </c>
      <c r="S45" s="849" t="n">
        <f aca="false">V44</f>
        <v>0</v>
      </c>
      <c r="T45" s="61" t="n">
        <f aca="false">S45*V$32*0.5</f>
        <v>0</v>
      </c>
      <c r="U45" s="61" t="n">
        <f aca="false">IF(V$34=0,0,IF($B45&gt;=V$31,S45,IF(V$33&gt;=$B45,0,IF(S45&gt;1,CHOOSE(V$34,V$29/(V$31-V$33),-PMT(V$32/2,V$31-$B44,S45,0)-T45,V$29*$AP45)))))</f>
        <v>0</v>
      </c>
      <c r="V45" s="824" t="n">
        <f aca="false">S45-U45</f>
        <v>0</v>
      </c>
      <c r="W45" s="849" t="n">
        <f aca="false">Z44</f>
        <v>18199.5628938181</v>
      </c>
      <c r="X45" s="61" t="n">
        <f aca="false">W45*Z$32*0.5</f>
        <v>1182.97158809818</v>
      </c>
      <c r="Y45" s="61" t="n">
        <f aca="false">IF(Z$34=0,0,IF($B45&gt;=Z$31,W45,IF(Z$33&gt;=$B45,0,IF(W45&gt;1,CHOOSE(Z$34,Z$29/(Z$31-Z$33),-PMT(Z$32/2,Z$31-$B44,W45,0)-X45,Z$29*$AR45)))))</f>
        <v>680.255508003572</v>
      </c>
      <c r="Z45" s="824" t="n">
        <f aca="false">W45-Y45</f>
        <v>17519.3073858145</v>
      </c>
      <c r="AA45" s="61"/>
      <c r="AB45" s="65"/>
      <c r="AC45" s="61"/>
      <c r="AD45" s="65"/>
      <c r="AE45" s="826"/>
      <c r="AG45" s="851" t="n">
        <f aca="false">8362.95238095238+250</f>
        <v>8612.95238095238</v>
      </c>
      <c r="AH45" s="852" t="n">
        <f aca="false">IF(AG$77=0,0,AG45/AG$77)</f>
        <v>0.0430647619047619</v>
      </c>
      <c r="AI45" s="853" t="n">
        <v>0</v>
      </c>
      <c r="AJ45" s="107" t="n">
        <f aca="false">IF(AI$77=0,0,AI45/AI$77)</f>
        <v>0</v>
      </c>
      <c r="AK45" s="853" t="n">
        <v>0</v>
      </c>
      <c r="AL45" s="107" t="n">
        <f aca="false">IF(AK$77=0,0,AK45/AK$77)</f>
        <v>0</v>
      </c>
      <c r="AM45" s="853" t="n">
        <v>0</v>
      </c>
      <c r="AN45" s="107" t="n">
        <f aca="false">IF(AM$77=0,0,AM45/AM$77)</f>
        <v>0</v>
      </c>
      <c r="AO45" s="853" t="n">
        <v>0</v>
      </c>
      <c r="AP45" s="107" t="n">
        <f aca="false">IF(AO$77=0,0,AO45/AO$77)</f>
        <v>0</v>
      </c>
      <c r="AQ45" s="853" t="n">
        <v>0</v>
      </c>
      <c r="AR45" s="89" t="n">
        <f aca="false">IF(AQ$77=0,0,AQ45/AQ$77)</f>
        <v>0</v>
      </c>
    </row>
    <row r="46" customFormat="false" ht="12.75" hidden="false" customHeight="false" outlineLevel="0" collapsed="false">
      <c r="A46" s="854" t="n">
        <f aca="false">A45</f>
        <v>2005</v>
      </c>
      <c r="B46" s="855" t="n">
        <f aca="false">B45+1</f>
        <v>9</v>
      </c>
      <c r="C46" s="856" t="n">
        <f aca="false">F45</f>
        <v>64170.9469791451</v>
      </c>
      <c r="D46" s="532" t="n">
        <f aca="false">C46*F$32*0.5</f>
        <v>3533.41276803918</v>
      </c>
      <c r="E46" s="858" t="n">
        <f aca="false">IF(F$34=0,0,IF($B46&gt;=F$31,C46,IF(F$33&gt;=$B46,0,IF(C46&gt;1,CHOOSE(F$34,F$29/(F$31-F$33),-PMT(F$32/2,F$31-$B45,C46,0)-D46,F$29*$AH46)))))*Assm!$X$90</f>
        <v>3615.6175549507</v>
      </c>
      <c r="F46" s="859" t="n">
        <f aca="false">C46-E46</f>
        <v>60555.3294241944</v>
      </c>
      <c r="G46" s="856" t="n">
        <f aca="false">J45</f>
        <v>0</v>
      </c>
      <c r="H46" s="532" t="n">
        <f aca="false">G46*J$32*0.5</f>
        <v>0</v>
      </c>
      <c r="I46" s="532" t="n">
        <f aca="false">IF(J$34=0,0,IF($B46&gt;=J$31,G46,IF(J$33&gt;=$B46,0,IF(G46&gt;1,CHOOSE(J$34,J$29/(J$31-J$33),-PMT(J$32/2,J$31-$B45,G46,0)-H46,J$29*$AJ46)))))</f>
        <v>0</v>
      </c>
      <c r="J46" s="859" t="n">
        <f aca="false">G46-I46</f>
        <v>0</v>
      </c>
      <c r="K46" s="856" t="n">
        <f aca="false">N45</f>
        <v>0</v>
      </c>
      <c r="L46" s="532" t="n">
        <f aca="false">K46*N$32*0.5</f>
        <v>0</v>
      </c>
      <c r="M46" s="532" t="n">
        <f aca="false">IF(N$34=0,0,IF($B46&gt;=N$31,K46,IF(N$33&gt;=$B46,0,IF(K46&gt;1,CHOOSE(N$34,N$29/(N$31-N$33),-PMT(N$32/2,N$31-$B45,K46,0)-L46,N$29*$AL46)))))</f>
        <v>0</v>
      </c>
      <c r="N46" s="859" t="n">
        <f aca="false">K46-M46</f>
        <v>0</v>
      </c>
      <c r="O46" s="856" t="n">
        <f aca="false">R45</f>
        <v>0</v>
      </c>
      <c r="P46" s="532" t="n">
        <f aca="false">O46*R$32*0.5</f>
        <v>0</v>
      </c>
      <c r="Q46" s="532" t="n">
        <f aca="false">IF(R$34=0,0,IF($B46&gt;=R$31,O46,IF(R$33&gt;=$B46,0,IF(O46&gt;1,CHOOSE(R$34,R$29/(R$31-R$33),-PMT(R$32/2,R$31-$B45,O46,0)-P46,R$29*$AN46)))))</f>
        <v>0</v>
      </c>
      <c r="R46" s="859" t="n">
        <f aca="false">O46-Q46</f>
        <v>0</v>
      </c>
      <c r="S46" s="856" t="n">
        <f aca="false">V45</f>
        <v>0</v>
      </c>
      <c r="T46" s="532" t="n">
        <f aca="false">S46*V$32*0.5</f>
        <v>0</v>
      </c>
      <c r="U46" s="532" t="n">
        <f aca="false">IF(V$34=0,0,IF($B46&gt;=V$31,S46,IF(V$33&gt;=$B46,0,IF(S46&gt;1,CHOOSE(V$34,V$29/(V$31-V$33),-PMT(V$32/2,V$31-$B45,S46,0)-T46,V$29*$AP46)))))</f>
        <v>0</v>
      </c>
      <c r="V46" s="859" t="n">
        <f aca="false">S46-U46</f>
        <v>0</v>
      </c>
      <c r="W46" s="856" t="n">
        <f aca="false">Z45</f>
        <v>17519.3073858145</v>
      </c>
      <c r="X46" s="532" t="n">
        <f aca="false">W46*Z$32*0.5</f>
        <v>1138.75498007795</v>
      </c>
      <c r="Y46" s="532" t="n">
        <f aca="false">IF(Z$34=0,0,IF($B46&gt;=Z$31,W46,IF(Z$33&gt;=$B46,0,IF(W46&gt;1,CHOOSE(Z$34,Z$29/(Z$31-Z$33),-PMT(Z$32/2,Z$31-$B45,W46,0)-X46,Z$29*$AR46)))))</f>
        <v>724.472116023805</v>
      </c>
      <c r="Z46" s="859" t="n">
        <f aca="false">W46-Y46</f>
        <v>16794.8352697907</v>
      </c>
      <c r="AA46" s="532" t="n">
        <f aca="false">SUM(D45:D46,H45:H46,L45:L46,P45:P46,T45:T46)</f>
        <v>7246.88619934103</v>
      </c>
      <c r="AB46" s="860" t="n">
        <f aca="false">SUM(E45:E46,I45:I46,M45:M46,Q45:Q46,U45:U46)</f>
        <v>6885.73175722412</v>
      </c>
      <c r="AC46" s="532" t="n">
        <f aca="false">SUM(X45:X46)</f>
        <v>2321.72656817612</v>
      </c>
      <c r="AD46" s="860" t="n">
        <f aca="false">SUM(Y45:Y46)</f>
        <v>1404.72762402738</v>
      </c>
      <c r="AE46" s="861" t="n">
        <f aca="false">(C45+G45+W45)*IF([1]RAROC!$B$103=1,VLOOKUP(A46,[2]!Guar_Fee_Table,2),IF([1]RAROC!$B$103=2,VLOOKUP(A46,[2]!Guar_Fee_Table,3),IF([1]RAROC!$B$103=3,VLOOKUP(A46,[2]!Guar_Fee_Table,4,0))))</f>
        <v>0</v>
      </c>
      <c r="AG46" s="851" t="n">
        <f aca="false">8362.95238095238+2660-1500</f>
        <v>9522.95238095238</v>
      </c>
      <c r="AH46" s="852" t="n">
        <f aca="false">IF(AG$77=0,0,AG46/AG$77)</f>
        <v>0.0476147619047619</v>
      </c>
      <c r="AI46" s="853" t="n">
        <v>0</v>
      </c>
      <c r="AJ46" s="107" t="n">
        <f aca="false">IF(AI$77=0,0,AI46/AI$77)</f>
        <v>0</v>
      </c>
      <c r="AK46" s="853" t="n">
        <v>0</v>
      </c>
      <c r="AL46" s="107" t="n">
        <f aca="false">IF(AK$77=0,0,AK46/AK$77)</f>
        <v>0</v>
      </c>
      <c r="AM46" s="853" t="n">
        <v>0</v>
      </c>
      <c r="AN46" s="107" t="n">
        <f aca="false">IF(AM$77=0,0,AM46/AM$77)</f>
        <v>0</v>
      </c>
      <c r="AO46" s="853" t="n">
        <v>0</v>
      </c>
      <c r="AP46" s="107" t="n">
        <f aca="false">IF(AO$77=0,0,AO46/AO$77)</f>
        <v>0</v>
      </c>
      <c r="AQ46" s="853" t="n">
        <v>0</v>
      </c>
      <c r="AR46" s="89" t="n">
        <f aca="false">IF(AQ$77=0,0,AQ46/AQ$77)</f>
        <v>0</v>
      </c>
    </row>
    <row r="47" customFormat="false" ht="12.75" hidden="false" customHeight="false" outlineLevel="0" collapsed="false">
      <c r="A47" s="258" t="n">
        <f aca="false">A45+1</f>
        <v>2006</v>
      </c>
      <c r="B47" s="848" t="n">
        <f aca="false">B46+1</f>
        <v>10</v>
      </c>
      <c r="C47" s="849" t="n">
        <f aca="false">F46</f>
        <v>60555.3294241944</v>
      </c>
      <c r="D47" s="61" t="n">
        <f aca="false">C47*F$32*0.5</f>
        <v>3334.3278264197</v>
      </c>
      <c r="E47" s="557" t="n">
        <f aca="false">IF(F$34=0,0,IF($B47&gt;=F$31,C47,IF(F$33&gt;=$B47,0,IF(C47&gt;1,CHOOSE(F$34,F$29/(F$31-F$33),-PMT(F$32/2,F$31-$B46,C47,0)-D47,F$29*$AH47)))))*Assm!$X$90</f>
        <v>3615.6175549507</v>
      </c>
      <c r="F47" s="824" t="n">
        <f aca="false">C47-E47</f>
        <v>56939.7118692437</v>
      </c>
      <c r="G47" s="849" t="n">
        <f aca="false">J46</f>
        <v>0</v>
      </c>
      <c r="H47" s="61" t="n">
        <f aca="false">G47*J$32*0.5</f>
        <v>0</v>
      </c>
      <c r="I47" s="61" t="n">
        <f aca="false">IF(J$34=0,0,IF($B47&gt;=J$31,G47,IF(J$33&gt;=$B47,0,IF(G47&gt;1,CHOOSE(J$34,J$29/(J$31-J$33),-PMT(J$32/2,J$31-$B46,G47,0)-H47,J$29*$AJ47)))))</f>
        <v>0</v>
      </c>
      <c r="J47" s="824" t="n">
        <f aca="false">G47-I47</f>
        <v>0</v>
      </c>
      <c r="K47" s="849" t="n">
        <f aca="false">N46</f>
        <v>0</v>
      </c>
      <c r="L47" s="61" t="n">
        <f aca="false">K47*N$32*0.5</f>
        <v>0</v>
      </c>
      <c r="M47" s="61" t="n">
        <f aca="false">IF(N$34=0,0,IF($B47&gt;=N$31,K47,IF(N$33&gt;=$B47,0,IF(K47&gt;1,CHOOSE(N$34,N$29/(N$31-N$33),-PMT(N$32/2,N$31-$B46,K47,0)-L47,N$29*$AL47)))))</f>
        <v>0</v>
      </c>
      <c r="N47" s="824" t="n">
        <f aca="false">K47-M47</f>
        <v>0</v>
      </c>
      <c r="O47" s="849" t="n">
        <f aca="false">R46</f>
        <v>0</v>
      </c>
      <c r="P47" s="61" t="n">
        <f aca="false">O47*R$32*0.5</f>
        <v>0</v>
      </c>
      <c r="Q47" s="61" t="n">
        <f aca="false">IF(R$34=0,0,IF($B47&gt;=R$31,O47,IF(R$33&gt;=$B47,0,IF(O47&gt;1,CHOOSE(R$34,R$29/(R$31-R$33),-PMT(R$32/2,R$31-$B46,O47,0)-P47,R$29*$AN47)))))</f>
        <v>0</v>
      </c>
      <c r="R47" s="824" t="n">
        <f aca="false">O47-Q47</f>
        <v>0</v>
      </c>
      <c r="S47" s="849" t="n">
        <f aca="false">V46</f>
        <v>0</v>
      </c>
      <c r="T47" s="61" t="n">
        <f aca="false">S47*V$32*0.5</f>
        <v>0</v>
      </c>
      <c r="U47" s="61" t="n">
        <f aca="false">IF(V$34=0,0,IF($B47&gt;=V$31,S47,IF(V$33&gt;=$B47,0,IF(S47&gt;1,CHOOSE(V$34,V$29/(V$31-V$33),-PMT(V$32/2,V$31-$B46,S47,0)-T47,V$29*$AP47)))))</f>
        <v>0</v>
      </c>
      <c r="V47" s="824" t="n">
        <f aca="false">S47-U47</f>
        <v>0</v>
      </c>
      <c r="W47" s="849" t="n">
        <f aca="false">Z46</f>
        <v>16794.8352697907</v>
      </c>
      <c r="X47" s="61" t="n">
        <f aca="false">W47*Z$32*0.5</f>
        <v>1091.6642925364</v>
      </c>
      <c r="Y47" s="61" t="n">
        <f aca="false">IF(Z$34=0,0,IF($B47&gt;=Z$31,W47,IF(Z$33&gt;=$B47,0,IF(W47&gt;1,CHOOSE(Z$34,Z$29/(Z$31-Z$33),-PMT(Z$32/2,Z$31-$B46,W47,0)-X47,Z$29*$AR47)))))</f>
        <v>771.562803565352</v>
      </c>
      <c r="Z47" s="824" t="n">
        <f aca="false">W47-Y47</f>
        <v>16023.2724662254</v>
      </c>
      <c r="AA47" s="61"/>
      <c r="AB47" s="65"/>
      <c r="AC47" s="61"/>
      <c r="AD47" s="65"/>
      <c r="AE47" s="826"/>
      <c r="AG47" s="851" t="n">
        <f aca="false">8362.95238095238+2660-1500</f>
        <v>9522.95238095238</v>
      </c>
      <c r="AH47" s="852" t="n">
        <f aca="false">IF(AG$77=0,0,AG47/AG$77)</f>
        <v>0.0476147619047619</v>
      </c>
      <c r="AI47" s="853" t="n">
        <v>0</v>
      </c>
      <c r="AJ47" s="107" t="n">
        <f aca="false">IF(AI$77=0,0,AI47/AI$77)</f>
        <v>0</v>
      </c>
      <c r="AK47" s="853" t="n">
        <v>0</v>
      </c>
      <c r="AL47" s="107" t="n">
        <f aca="false">IF(AK$77=0,0,AK47/AK$77)</f>
        <v>0</v>
      </c>
      <c r="AM47" s="853" t="n">
        <v>0</v>
      </c>
      <c r="AN47" s="107" t="n">
        <f aca="false">IF(AM$77=0,0,AM47/AM$77)</f>
        <v>0</v>
      </c>
      <c r="AO47" s="853" t="n">
        <v>0</v>
      </c>
      <c r="AP47" s="107" t="n">
        <f aca="false">IF(AO$77=0,0,AO47/AO$77)</f>
        <v>0</v>
      </c>
      <c r="AQ47" s="853" t="n">
        <v>0</v>
      </c>
      <c r="AR47" s="89" t="n">
        <f aca="false">IF(AQ$77=0,0,AQ47/AQ$77)</f>
        <v>0</v>
      </c>
    </row>
    <row r="48" customFormat="false" ht="12.75" hidden="false" customHeight="false" outlineLevel="0" collapsed="false">
      <c r="A48" s="854" t="n">
        <f aca="false">A47</f>
        <v>2006</v>
      </c>
      <c r="B48" s="855" t="n">
        <f aca="false">B47+1</f>
        <v>11</v>
      </c>
      <c r="C48" s="856" t="n">
        <f aca="false">F47</f>
        <v>56939.7118692437</v>
      </c>
      <c r="D48" s="532" t="n">
        <f aca="false">C48*F$32*0.5</f>
        <v>3135.24288480023</v>
      </c>
      <c r="E48" s="858" t="n">
        <f aca="false">IF(F$34=0,0,IF($B48&gt;=F$31,C48,IF(F$33&gt;=$B48,0,IF(C48&gt;1,CHOOSE(F$34,F$29/(F$31-F$33),-PMT(F$32/2,F$31-$B47,C48,0)-D48,F$29*$AH48)))))*Assm!$X$90</f>
        <v>4185.12857584731</v>
      </c>
      <c r="F48" s="859" t="n">
        <f aca="false">C48-E48</f>
        <v>52754.5832933964</v>
      </c>
      <c r="G48" s="856" t="n">
        <f aca="false">J47</f>
        <v>0</v>
      </c>
      <c r="H48" s="532" t="n">
        <f aca="false">G48*J$32*0.5</f>
        <v>0</v>
      </c>
      <c r="I48" s="532" t="n">
        <f aca="false">IF(J$34=0,0,IF($B48&gt;=J$31,G48,IF(J$33&gt;=$B48,0,IF(G48&gt;1,CHOOSE(J$34,J$29/(J$31-J$33),-PMT(J$32/2,J$31-$B47,G48,0)-H48,J$29*$AJ48)))))</f>
        <v>0</v>
      </c>
      <c r="J48" s="859" t="n">
        <f aca="false">G48-I48</f>
        <v>0</v>
      </c>
      <c r="K48" s="856" t="n">
        <f aca="false">N47</f>
        <v>0</v>
      </c>
      <c r="L48" s="532" t="n">
        <f aca="false">K48*N$32*0.5</f>
        <v>0</v>
      </c>
      <c r="M48" s="532" t="n">
        <f aca="false">IF(N$34=0,0,IF($B48&gt;=N$31,K48,IF(N$33&gt;=$B48,0,IF(K48&gt;1,CHOOSE(N$34,N$29/(N$31-N$33),-PMT(N$32/2,N$31-$B47,K48,0)-L48,N$29*$AL48)))))</f>
        <v>0</v>
      </c>
      <c r="N48" s="859" t="n">
        <f aca="false">K48-M48</f>
        <v>0</v>
      </c>
      <c r="O48" s="856" t="n">
        <f aca="false">R47</f>
        <v>0</v>
      </c>
      <c r="P48" s="532" t="n">
        <f aca="false">O48*R$32*0.5</f>
        <v>0</v>
      </c>
      <c r="Q48" s="532" t="n">
        <f aca="false">IF(R$34=0,0,IF($B48&gt;=R$31,O48,IF(R$33&gt;=$B48,0,IF(O48&gt;1,CHOOSE(R$34,R$29/(R$31-R$33),-PMT(R$32/2,R$31-$B47,O48,0)-P48,R$29*$AN48)))))</f>
        <v>0</v>
      </c>
      <c r="R48" s="859" t="n">
        <f aca="false">O48-Q48</f>
        <v>0</v>
      </c>
      <c r="S48" s="856" t="n">
        <f aca="false">V47</f>
        <v>0</v>
      </c>
      <c r="T48" s="532" t="n">
        <f aca="false">S48*V$32*0.5</f>
        <v>0</v>
      </c>
      <c r="U48" s="532" t="n">
        <f aca="false">IF(V$34=0,0,IF($B48&gt;=V$31,S48,IF(V$33&gt;=$B48,0,IF(S48&gt;1,CHOOSE(V$34,V$29/(V$31-V$33),-PMT(V$32/2,V$31-$B47,S48,0)-T48,V$29*$AP48)))))</f>
        <v>0</v>
      </c>
      <c r="V48" s="859" t="n">
        <f aca="false">S48-U48</f>
        <v>0</v>
      </c>
      <c r="W48" s="856" t="n">
        <f aca="false">Z47</f>
        <v>16023.2724662254</v>
      </c>
      <c r="X48" s="532" t="n">
        <f aca="false">W48*Z$32*0.5</f>
        <v>1041.51271030465</v>
      </c>
      <c r="Y48" s="532" t="n">
        <f aca="false">IF(Z$34=0,0,IF($B48&gt;=Z$31,W48,IF(Z$33&gt;=$B48,0,IF(W48&gt;1,CHOOSE(Z$34,Z$29/(Z$31-Z$33),-PMT(Z$32/2,Z$31-$B47,W48,0)-X48,Z$29*$AR48)))))</f>
        <v>821.714385797099</v>
      </c>
      <c r="Z48" s="859" t="n">
        <f aca="false">W48-Y48</f>
        <v>15201.5580804283</v>
      </c>
      <c r="AA48" s="532" t="n">
        <f aca="false">SUM(D47:D48,H47:H48,L47:L48,P47:P48,T47:T48)</f>
        <v>6469.57071121993</v>
      </c>
      <c r="AB48" s="860" t="n">
        <f aca="false">SUM(E47:E48,I47:I48,M47:M48,Q47:Q48,U47:U48)</f>
        <v>7800.74613079801</v>
      </c>
      <c r="AC48" s="532" t="n">
        <f aca="false">SUM(X47:X48)</f>
        <v>2133.17700284105</v>
      </c>
      <c r="AD48" s="860" t="n">
        <f aca="false">SUM(Y47:Y48)</f>
        <v>1593.27718936245</v>
      </c>
      <c r="AE48" s="861" t="n">
        <f aca="false">(C47+G47+W47)*IF([1]RAROC!$B$103=1,VLOOKUP(A48,[2]!Guar_Fee_Table,2),IF([1]RAROC!$B$103=2,VLOOKUP(A48,[2]!Guar_Fee_Table,3),IF([1]RAROC!$B$103=3,VLOOKUP(A48,[2]!Guar_Fee_Table,4,0))))</f>
        <v>0</v>
      </c>
      <c r="AG48" s="851" t="n">
        <f aca="false">8362.95238095238+2660</f>
        <v>11022.9523809524</v>
      </c>
      <c r="AH48" s="852" t="n">
        <f aca="false">IF(AG$77=0,0,AG48/AG$77)</f>
        <v>0.0551147619047619</v>
      </c>
      <c r="AI48" s="853" t="n">
        <v>0</v>
      </c>
      <c r="AJ48" s="107" t="n">
        <f aca="false">IF(AI$77=0,0,AI48/AI$77)</f>
        <v>0</v>
      </c>
      <c r="AK48" s="853" t="n">
        <v>0</v>
      </c>
      <c r="AL48" s="107" t="n">
        <f aca="false">IF(AK$77=0,0,AK48/AK$77)</f>
        <v>0</v>
      </c>
      <c r="AM48" s="853" t="n">
        <v>0</v>
      </c>
      <c r="AN48" s="107" t="n">
        <f aca="false">IF(AM$77=0,0,AM48/AM$77)</f>
        <v>0</v>
      </c>
      <c r="AO48" s="853" t="n">
        <v>0</v>
      </c>
      <c r="AP48" s="107" t="n">
        <f aca="false">IF(AO$77=0,0,AO48/AO$77)</f>
        <v>0</v>
      </c>
      <c r="AQ48" s="853" t="n">
        <v>0</v>
      </c>
      <c r="AR48" s="89" t="n">
        <f aca="false">IF(AQ$77=0,0,AQ48/AQ$77)</f>
        <v>0</v>
      </c>
    </row>
    <row r="49" customFormat="false" ht="12.75" hidden="false" customHeight="false" outlineLevel="0" collapsed="false">
      <c r="A49" s="258" t="n">
        <f aca="false">A47+1</f>
        <v>2007</v>
      </c>
      <c r="B49" s="848" t="n">
        <f aca="false">B48+1</f>
        <v>12</v>
      </c>
      <c r="C49" s="849" t="n">
        <f aca="false">F48</f>
        <v>52754.5832933964</v>
      </c>
      <c r="D49" s="61" t="n">
        <f aca="false">C49*F$32*0.5</f>
        <v>2904.79924259264</v>
      </c>
      <c r="E49" s="557" t="n">
        <f aca="false">IF(F$34=0,0,IF($B49&gt;=F$31,C49,IF(F$33&gt;=$B49,0,IF(C49&gt;1,CHOOSE(F$34,F$29/(F$31-F$33),-PMT(F$32/2,F$31-$B48,C49,0)-D49,F$29*$AH49)))))*Assm!$X$90</f>
        <v>4185.12857584731</v>
      </c>
      <c r="F49" s="824" t="n">
        <f aca="false">C49-E49</f>
        <v>48569.4547175491</v>
      </c>
      <c r="G49" s="849" t="n">
        <f aca="false">J48</f>
        <v>0</v>
      </c>
      <c r="H49" s="61" t="n">
        <f aca="false">G49*J$32*0.5</f>
        <v>0</v>
      </c>
      <c r="I49" s="61" t="n">
        <f aca="false">IF(J$34=0,0,IF($B49&gt;=J$31,G49,IF(J$33&gt;=$B49,0,IF(G49&gt;1,CHOOSE(J$34,J$29/(J$31-J$33),-PMT(J$32/2,J$31-$B48,G49,0)-H49,J$29*$AJ49)))))</f>
        <v>0</v>
      </c>
      <c r="J49" s="824" t="n">
        <f aca="false">G49-I49</f>
        <v>0</v>
      </c>
      <c r="K49" s="849" t="n">
        <f aca="false">N48</f>
        <v>0</v>
      </c>
      <c r="L49" s="61" t="n">
        <f aca="false">K49*N$32*0.5</f>
        <v>0</v>
      </c>
      <c r="M49" s="61" t="n">
        <f aca="false">IF(N$34=0,0,IF($B49&gt;=N$31,K49,IF(N$33&gt;=$B49,0,IF(K49&gt;1,CHOOSE(N$34,N$29/(N$31-N$33),-PMT(N$32/2,N$31-$B48,K49,0)-L49,N$29*$AL49)))))</f>
        <v>0</v>
      </c>
      <c r="N49" s="824" t="n">
        <f aca="false">K49-M49</f>
        <v>0</v>
      </c>
      <c r="O49" s="849" t="n">
        <f aca="false">R48</f>
        <v>0</v>
      </c>
      <c r="P49" s="61" t="n">
        <f aca="false">O49*R$32*0.5</f>
        <v>0</v>
      </c>
      <c r="Q49" s="61" t="n">
        <f aca="false">IF(R$34=0,0,IF($B49&gt;=R$31,O49,IF(R$33&gt;=$B49,0,IF(O49&gt;1,CHOOSE(R$34,R$29/(R$31-R$33),-PMT(R$32/2,R$31-$B48,O49,0)-P49,R$29*$AN49)))))</f>
        <v>0</v>
      </c>
      <c r="R49" s="824" t="n">
        <f aca="false">O49-Q49</f>
        <v>0</v>
      </c>
      <c r="S49" s="849" t="n">
        <f aca="false">V48</f>
        <v>0</v>
      </c>
      <c r="T49" s="61" t="n">
        <f aca="false">S49*V$32*0.5</f>
        <v>0</v>
      </c>
      <c r="U49" s="61" t="n">
        <f aca="false">IF(V$34=0,0,IF($B49&gt;=V$31,S49,IF(V$33&gt;=$B49,0,IF(S49&gt;1,CHOOSE(V$34,V$29/(V$31-V$33),-PMT(V$32/2,V$31-$B48,S49,0)-T49,V$29*$AP49)))))</f>
        <v>0</v>
      </c>
      <c r="V49" s="824" t="n">
        <f aca="false">S49-U49</f>
        <v>0</v>
      </c>
      <c r="W49" s="849" t="n">
        <f aca="false">Z48</f>
        <v>15201.5580804283</v>
      </c>
      <c r="X49" s="61" t="n">
        <f aca="false">W49*Z$32*0.5</f>
        <v>988.101275227839</v>
      </c>
      <c r="Y49" s="61" t="n">
        <f aca="false">IF(Z$34=0,0,IF($B49&gt;=Z$31,W49,IF(Z$33&gt;=$B49,0,IF(W49&gt;1,CHOOSE(Z$34,Z$29/(Z$31-Z$33),-PMT(Z$32/2,Z$31-$B48,W49,0)-X49,Z$29*$AR49)))))</f>
        <v>875.125820873912</v>
      </c>
      <c r="Z49" s="824" t="n">
        <f aca="false">W49-Y49</f>
        <v>14326.4322595544</v>
      </c>
      <c r="AA49" s="61"/>
      <c r="AB49" s="65"/>
      <c r="AC49" s="61"/>
      <c r="AD49" s="65"/>
      <c r="AE49" s="826"/>
      <c r="AG49" s="851" t="n">
        <f aca="false">8362.95238095238+2660</f>
        <v>11022.9523809524</v>
      </c>
      <c r="AH49" s="852" t="n">
        <f aca="false">IF(AG$77=0,0,AG49/AG$77)</f>
        <v>0.0551147619047619</v>
      </c>
      <c r="AI49" s="853" t="n">
        <v>0</v>
      </c>
      <c r="AJ49" s="107" t="n">
        <f aca="false">IF(AI$77=0,0,AI49/AI$77)</f>
        <v>0</v>
      </c>
      <c r="AK49" s="853" t="n">
        <v>0</v>
      </c>
      <c r="AL49" s="107" t="n">
        <f aca="false">IF(AK$77=0,0,AK49/AK$77)</f>
        <v>0</v>
      </c>
      <c r="AM49" s="853" t="n">
        <v>0</v>
      </c>
      <c r="AN49" s="107" t="n">
        <f aca="false">IF(AM$77=0,0,AM49/AM$77)</f>
        <v>0</v>
      </c>
      <c r="AO49" s="853" t="n">
        <v>0</v>
      </c>
      <c r="AP49" s="107" t="n">
        <f aca="false">IF(AO$77=0,0,AO49/AO$77)</f>
        <v>0</v>
      </c>
      <c r="AQ49" s="853" t="n">
        <v>0</v>
      </c>
      <c r="AR49" s="89" t="n">
        <f aca="false">IF(AQ$77=0,0,AQ49/AQ$77)</f>
        <v>0</v>
      </c>
    </row>
    <row r="50" customFormat="false" ht="12.75" hidden="false" customHeight="false" outlineLevel="0" collapsed="false">
      <c r="A50" s="854" t="n">
        <f aca="false">A49</f>
        <v>2007</v>
      </c>
      <c r="B50" s="855" t="n">
        <f aca="false">B49+1</f>
        <v>13</v>
      </c>
      <c r="C50" s="856" t="n">
        <f aca="false">F49</f>
        <v>48569.4547175491</v>
      </c>
      <c r="D50" s="532" t="n">
        <f aca="false">C50*F$32*0.5</f>
        <v>2674.35560038505</v>
      </c>
      <c r="E50" s="858" t="n">
        <f aca="false">IF(F$34=0,0,IF($B50&gt;=F$31,C50,IF(F$33&gt;=$B50,0,IF(C50&gt;1,CHOOSE(F$34,F$29/(F$31-F$33),-PMT(F$32/2,F$31-$B49,C50,0)-D50,F$29*$AH50)))))*Assm!$X$90</f>
        <v>4185.12857584731</v>
      </c>
      <c r="F50" s="859" t="n">
        <f aca="false">C50-E50</f>
        <v>44384.3261417018</v>
      </c>
      <c r="G50" s="856" t="n">
        <f aca="false">J49</f>
        <v>0</v>
      </c>
      <c r="H50" s="532" t="n">
        <f aca="false">G50*J$32*0.5</f>
        <v>0</v>
      </c>
      <c r="I50" s="532" t="n">
        <f aca="false">IF(J$34=0,0,IF($B50&gt;=J$31,G50,IF(J$33&gt;=$B50,0,IF(G50&gt;1,CHOOSE(J$34,J$29/(J$31-J$33),-PMT(J$32/2,J$31-$B49,G50,0)-H50,J$29*$AJ50)))))</f>
        <v>0</v>
      </c>
      <c r="J50" s="859" t="n">
        <f aca="false">G50-I50</f>
        <v>0</v>
      </c>
      <c r="K50" s="856" t="n">
        <f aca="false">N49</f>
        <v>0</v>
      </c>
      <c r="L50" s="532" t="n">
        <f aca="false">K50*N$32*0.5</f>
        <v>0</v>
      </c>
      <c r="M50" s="532" t="n">
        <f aca="false">IF(N$34=0,0,IF($B50&gt;=N$31,K50,IF(N$33&gt;=$B50,0,IF(K50&gt;1,CHOOSE(N$34,N$29/(N$31-N$33),-PMT(N$32/2,N$31-$B49,K50,0)-L50,N$29*$AL50)))))</f>
        <v>0</v>
      </c>
      <c r="N50" s="859" t="n">
        <f aca="false">K50-M50</f>
        <v>0</v>
      </c>
      <c r="O50" s="856" t="n">
        <f aca="false">R49</f>
        <v>0</v>
      </c>
      <c r="P50" s="532" t="n">
        <f aca="false">O50*R$32*0.5</f>
        <v>0</v>
      </c>
      <c r="Q50" s="532" t="n">
        <f aca="false">IF(R$34=0,0,IF($B50&gt;=R$31,O50,IF(R$33&gt;=$B50,0,IF(O50&gt;1,CHOOSE(R$34,R$29/(R$31-R$33),-PMT(R$32/2,R$31-$B49,O50,0)-P50,R$29*$AN50)))))</f>
        <v>0</v>
      </c>
      <c r="R50" s="859" t="n">
        <f aca="false">O50-Q50</f>
        <v>0</v>
      </c>
      <c r="S50" s="856" t="n">
        <f aca="false">V49</f>
        <v>0</v>
      </c>
      <c r="T50" s="532" t="n">
        <f aca="false">S50*V$32*0.5</f>
        <v>0</v>
      </c>
      <c r="U50" s="532" t="n">
        <f aca="false">IF(V$34=0,0,IF($B50&gt;=V$31,S50,IF(V$33&gt;=$B50,0,IF(S50&gt;1,CHOOSE(V$34,V$29/(V$31-V$33),-PMT(V$32/2,V$31-$B49,S50,0)-T50,V$29*$AP50)))))</f>
        <v>0</v>
      </c>
      <c r="V50" s="859" t="n">
        <f aca="false">S50-U50</f>
        <v>0</v>
      </c>
      <c r="W50" s="856" t="n">
        <f aca="false">Z49</f>
        <v>14326.4322595544</v>
      </c>
      <c r="X50" s="532" t="n">
        <f aca="false">W50*Z$32*0.5</f>
        <v>931.218096871034</v>
      </c>
      <c r="Y50" s="532" t="n">
        <f aca="false">IF(Z$34=0,0,IF($B50&gt;=Z$31,W50,IF(Z$33&gt;=$B50,0,IF(W50&gt;1,CHOOSE(Z$34,Z$29/(Z$31-Z$33),-PMT(Z$32/2,Z$31-$B49,W50,0)-X50,Z$29*$AR50)))))</f>
        <v>932.008999230715</v>
      </c>
      <c r="Z50" s="859" t="n">
        <f aca="false">W50-Y50</f>
        <v>13394.4232603237</v>
      </c>
      <c r="AA50" s="532" t="n">
        <f aca="false">SUM(D49:D50,H49:H50,L49:L50,P49:P50,T49:T50)</f>
        <v>5579.15484297768</v>
      </c>
      <c r="AB50" s="860" t="n">
        <f aca="false">SUM(E49:E50,I49:I50,M49:M50,Q49:Q50,U49:U50)</f>
        <v>8370.25715169463</v>
      </c>
      <c r="AC50" s="532" t="n">
        <f aca="false">SUM(X49:X50)</f>
        <v>1919.31937209887</v>
      </c>
      <c r="AD50" s="860" t="n">
        <f aca="false">SUM(Y49:Y50)</f>
        <v>1807.13482010463</v>
      </c>
      <c r="AE50" s="861" t="n">
        <f aca="false">(C49+G49+W49)*IF([1]RAROC!$B$103=1,VLOOKUP(A50,[2]!Guar_Fee_Table,2),IF([1]RAROC!$B$103=2,VLOOKUP(A50,[2]!Guar_Fee_Table,3),IF([1]RAROC!$B$103=3,VLOOKUP(A50,[2]!Guar_Fee_Table,4,0))))</f>
        <v>0</v>
      </c>
      <c r="AG50" s="851" t="n">
        <f aca="false">8362.95238095238+2660</f>
        <v>11022.9523809524</v>
      </c>
      <c r="AH50" s="852" t="n">
        <f aca="false">IF(AG$77=0,0,AG50/AG$77)</f>
        <v>0.0551147619047619</v>
      </c>
      <c r="AI50" s="853" t="n">
        <v>0</v>
      </c>
      <c r="AJ50" s="107" t="n">
        <f aca="false">IF(AI$77=0,0,AI50/AI$77)</f>
        <v>0</v>
      </c>
      <c r="AK50" s="853" t="n">
        <v>0</v>
      </c>
      <c r="AL50" s="107" t="n">
        <f aca="false">IF(AK$77=0,0,AK50/AK$77)</f>
        <v>0</v>
      </c>
      <c r="AM50" s="853" t="n">
        <v>0</v>
      </c>
      <c r="AN50" s="107" t="n">
        <f aca="false">IF(AM$77=0,0,AM50/AM$77)</f>
        <v>0</v>
      </c>
      <c r="AO50" s="853" t="n">
        <v>0</v>
      </c>
      <c r="AP50" s="107" t="n">
        <f aca="false">IF(AO$77=0,0,AO50/AO$77)</f>
        <v>0</v>
      </c>
      <c r="AQ50" s="853" t="n">
        <v>0</v>
      </c>
      <c r="AR50" s="89" t="n">
        <f aca="false">IF(AQ$77=0,0,AQ50/AQ$77)</f>
        <v>0</v>
      </c>
    </row>
    <row r="51" customFormat="false" ht="12.75" hidden="false" customHeight="false" outlineLevel="0" collapsed="false">
      <c r="A51" s="258" t="n">
        <f aca="false">A49+1</f>
        <v>2008</v>
      </c>
      <c r="B51" s="848" t="n">
        <f aca="false">B50+1</f>
        <v>14</v>
      </c>
      <c r="C51" s="849" t="n">
        <f aca="false">F50</f>
        <v>44384.3261417018</v>
      </c>
      <c r="D51" s="61" t="n">
        <f aca="false">C51*F$32*0.5</f>
        <v>2443.91195817745</v>
      </c>
      <c r="E51" s="557" t="n">
        <f aca="false">IF(F$34=0,0,IF($B51&gt;=F$31,C51,IF(F$33&gt;=$B51,0,IF(C51&gt;1,CHOOSE(F$34,F$29/(F$31-F$33),-PMT(F$32/2,F$31-$B50,C51,0)-D51,F$29*$AH51)))))*Assm!$X$90</f>
        <v>4185.12857584731</v>
      </c>
      <c r="F51" s="824" t="n">
        <f aca="false">C51-E51</f>
        <v>40199.1975658544</v>
      </c>
      <c r="G51" s="849" t="n">
        <f aca="false">J50</f>
        <v>0</v>
      </c>
      <c r="H51" s="61" t="n">
        <f aca="false">G51*J$32*0.5</f>
        <v>0</v>
      </c>
      <c r="I51" s="61" t="n">
        <f aca="false">IF(J$34=0,0,IF($B51&gt;=J$31,G51,IF(J$33&gt;=$B51,0,IF(G51&gt;1,CHOOSE(J$34,J$29/(J$31-J$33),-PMT(J$32/2,J$31-$B50,G51,0)-H51,J$29*$AJ51)))))</f>
        <v>0</v>
      </c>
      <c r="J51" s="824" t="n">
        <f aca="false">G51-I51</f>
        <v>0</v>
      </c>
      <c r="K51" s="849" t="n">
        <f aca="false">N50</f>
        <v>0</v>
      </c>
      <c r="L51" s="61" t="n">
        <f aca="false">K51*N$32*0.5</f>
        <v>0</v>
      </c>
      <c r="M51" s="61" t="n">
        <f aca="false">IF(N$34=0,0,IF($B51&gt;=N$31,K51,IF(N$33&gt;=$B51,0,IF(K51&gt;1,CHOOSE(N$34,N$29/(N$31-N$33),-PMT(N$32/2,N$31-$B50,K51,0)-L51,N$29*$AL51)))))</f>
        <v>0</v>
      </c>
      <c r="N51" s="824" t="n">
        <f aca="false">K51-M51</f>
        <v>0</v>
      </c>
      <c r="O51" s="849" t="n">
        <f aca="false">R50</f>
        <v>0</v>
      </c>
      <c r="P51" s="61" t="n">
        <f aca="false">O51*R$32*0.5</f>
        <v>0</v>
      </c>
      <c r="Q51" s="61" t="n">
        <f aca="false">IF(R$34=0,0,IF($B51&gt;=R$31,O51,IF(R$33&gt;=$B51,0,IF(O51&gt;1,CHOOSE(R$34,R$29/(R$31-R$33),-PMT(R$32/2,R$31-$B50,O51,0)-P51,R$29*$AN51)))))</f>
        <v>0</v>
      </c>
      <c r="R51" s="824" t="n">
        <f aca="false">O51-Q51</f>
        <v>0</v>
      </c>
      <c r="S51" s="849" t="n">
        <f aca="false">V50</f>
        <v>0</v>
      </c>
      <c r="T51" s="61" t="n">
        <f aca="false">S51*V$32*0.5</f>
        <v>0</v>
      </c>
      <c r="U51" s="61" t="n">
        <f aca="false">IF(V$34=0,0,IF($B51&gt;=V$31,S51,IF(V$33&gt;=$B51,0,IF(S51&gt;1,CHOOSE(V$34,V$29/(V$31-V$33),-PMT(V$32/2,V$31-$B50,S51,0)-T51,V$29*$AP51)))))</f>
        <v>0</v>
      </c>
      <c r="V51" s="824" t="n">
        <f aca="false">S51-U51</f>
        <v>0</v>
      </c>
      <c r="W51" s="849" t="n">
        <f aca="false">Z50</f>
        <v>13394.4232603237</v>
      </c>
      <c r="X51" s="61" t="n">
        <f aca="false">W51*Z$32*0.5</f>
        <v>870.637511921038</v>
      </c>
      <c r="Y51" s="61" t="n">
        <f aca="false">IF(Z$34=0,0,IF($B51&gt;=Z$31,W51,IF(Z$33&gt;=$B51,0,IF(W51&gt;1,CHOOSE(Z$34,Z$29/(Z$31-Z$33),-PMT(Z$32/2,Z$31-$B50,W51,0)-X51,Z$29*$AR51)))))</f>
        <v>992.589584180712</v>
      </c>
      <c r="Z51" s="824" t="n">
        <f aca="false">W51-Y51</f>
        <v>12401.8336761429</v>
      </c>
      <c r="AA51" s="61"/>
      <c r="AB51" s="65"/>
      <c r="AC51" s="61"/>
      <c r="AD51" s="65"/>
      <c r="AE51" s="826"/>
      <c r="AG51" s="851" t="n">
        <f aca="false">8362.95238095238+2660</f>
        <v>11022.9523809524</v>
      </c>
      <c r="AH51" s="852" t="n">
        <f aca="false">IF(AG$77=0,0,AG51/AG$77)</f>
        <v>0.0551147619047619</v>
      </c>
      <c r="AI51" s="853" t="n">
        <v>0</v>
      </c>
      <c r="AJ51" s="107" t="n">
        <f aca="false">IF(AI$77=0,0,AI51/AI$77)</f>
        <v>0</v>
      </c>
      <c r="AK51" s="853" t="n">
        <v>0</v>
      </c>
      <c r="AL51" s="107" t="n">
        <f aca="false">IF(AK$77=0,0,AK51/AK$77)</f>
        <v>0</v>
      </c>
      <c r="AM51" s="853" t="n">
        <v>0</v>
      </c>
      <c r="AN51" s="107" t="n">
        <f aca="false">IF(AM$77=0,0,AM51/AM$77)</f>
        <v>0</v>
      </c>
      <c r="AO51" s="853" t="n">
        <v>0</v>
      </c>
      <c r="AP51" s="107" t="n">
        <f aca="false">IF(AO$77=0,0,AO51/AO$77)</f>
        <v>0</v>
      </c>
      <c r="AQ51" s="853" t="n">
        <v>0</v>
      </c>
      <c r="AR51" s="89" t="n">
        <f aca="false">IF(AQ$77=0,0,AQ51/AQ$77)</f>
        <v>0</v>
      </c>
    </row>
    <row r="52" customFormat="false" ht="12.75" hidden="false" customHeight="false" outlineLevel="0" collapsed="false">
      <c r="A52" s="854" t="n">
        <f aca="false">A51</f>
        <v>2008</v>
      </c>
      <c r="B52" s="855" t="n">
        <f aca="false">B51+1</f>
        <v>15</v>
      </c>
      <c r="C52" s="856" t="n">
        <f aca="false">F51</f>
        <v>40199.1975658544</v>
      </c>
      <c r="D52" s="532" t="n">
        <f aca="false">C52*F$32*0.5</f>
        <v>2213.46831596986</v>
      </c>
      <c r="E52" s="858" t="n">
        <f aca="false">IF(F$34=0,0,IF($B52&gt;=F$31,C52,IF(F$33&gt;=$B52,0,IF(C52&gt;1,CHOOSE(F$34,F$29/(F$31-F$33),-PMT(F$32/2,F$31-$B51,C52,0)-D52,F$29*$AH52)))))*Assm!$X$90</f>
        <v>2165.26282173398</v>
      </c>
      <c r="F52" s="859" t="n">
        <f aca="false">C52-E52</f>
        <v>38033.9347441205</v>
      </c>
      <c r="G52" s="856" t="n">
        <f aca="false">J51</f>
        <v>0</v>
      </c>
      <c r="H52" s="532" t="n">
        <f aca="false">G52*J$32*0.5</f>
        <v>0</v>
      </c>
      <c r="I52" s="532" t="n">
        <f aca="false">IF(J$34=0,0,IF($B52&gt;=J$31,G52,IF(J$33&gt;=$B52,0,IF(G52&gt;1,CHOOSE(J$34,J$29/(J$31-J$33),-PMT(J$32/2,J$31-$B51,G52,0)-H52,J$29*$AJ52)))))</f>
        <v>0</v>
      </c>
      <c r="J52" s="859" t="n">
        <f aca="false">G52-I52</f>
        <v>0</v>
      </c>
      <c r="K52" s="856" t="n">
        <f aca="false">N51</f>
        <v>0</v>
      </c>
      <c r="L52" s="532" t="n">
        <f aca="false">K52*N$32*0.5</f>
        <v>0</v>
      </c>
      <c r="M52" s="532" t="n">
        <f aca="false">IF(N$34=0,0,IF($B52&gt;=N$31,K52,IF(N$33&gt;=$B52,0,IF(K52&gt;1,CHOOSE(N$34,N$29/(N$31-N$33),-PMT(N$32/2,N$31-$B51,K52,0)-L52,N$29*$AL52)))))</f>
        <v>0</v>
      </c>
      <c r="N52" s="859" t="n">
        <f aca="false">K52-M52</f>
        <v>0</v>
      </c>
      <c r="O52" s="856" t="n">
        <f aca="false">R51</f>
        <v>0</v>
      </c>
      <c r="P52" s="532" t="n">
        <f aca="false">O52*R$32*0.5</f>
        <v>0</v>
      </c>
      <c r="Q52" s="532" t="n">
        <f aca="false">IF(R$34=0,0,IF($B52&gt;=R$31,O52,IF(R$33&gt;=$B52,0,IF(O52&gt;1,CHOOSE(R$34,R$29/(R$31-R$33),-PMT(R$32/2,R$31-$B51,O52,0)-P52,R$29*$AN52)))))</f>
        <v>0</v>
      </c>
      <c r="R52" s="859" t="n">
        <f aca="false">O52-Q52</f>
        <v>0</v>
      </c>
      <c r="S52" s="856" t="n">
        <f aca="false">V51</f>
        <v>0</v>
      </c>
      <c r="T52" s="532" t="n">
        <f aca="false">S52*V$32*0.5</f>
        <v>0</v>
      </c>
      <c r="U52" s="532" t="n">
        <f aca="false">IF(V$34=0,0,IF($B52&gt;=V$31,S52,IF(V$33&gt;=$B52,0,IF(S52&gt;1,CHOOSE(V$34,V$29/(V$31-V$33),-PMT(V$32/2,V$31-$B51,S52,0)-T52,V$29*$AP52)))))</f>
        <v>0</v>
      </c>
      <c r="V52" s="859" t="n">
        <f aca="false">S52-U52</f>
        <v>0</v>
      </c>
      <c r="W52" s="856" t="n">
        <f aca="false">Z51</f>
        <v>12401.8336761429</v>
      </c>
      <c r="X52" s="532" t="n">
        <f aca="false">W52*Z$32*0.5</f>
        <v>806.119188949292</v>
      </c>
      <c r="Y52" s="532" t="n">
        <f aca="false">IF(Z$34=0,0,IF($B52&gt;=Z$31,W52,IF(Z$33&gt;=$B52,0,IF(W52&gt;1,CHOOSE(Z$34,Z$29/(Z$31-Z$33),-PMT(Z$32/2,Z$31-$B51,W52,0)-X52,Z$29*$AR52)))))</f>
        <v>1057.10790715246</v>
      </c>
      <c r="Z52" s="859" t="n">
        <f aca="false">W52-Y52</f>
        <v>11344.7257689905</v>
      </c>
      <c r="AA52" s="532" t="n">
        <f aca="false">SUM(D51:D52,H51:H52,L51:L52,P51:P52,T51:T52)</f>
        <v>4657.38027414731</v>
      </c>
      <c r="AB52" s="860" t="n">
        <f aca="false">SUM(E51:E52,I51:I52,M51:M52,Q51:Q52,U51:U52)</f>
        <v>6350.3913975813</v>
      </c>
      <c r="AC52" s="532" t="n">
        <f aca="false">SUM(X51:X52)</f>
        <v>1676.75670087033</v>
      </c>
      <c r="AD52" s="860" t="n">
        <f aca="false">SUM(Y51:Y52)</f>
        <v>2049.69749133317</v>
      </c>
      <c r="AE52" s="861" t="n">
        <f aca="false">(C51+G51+W51)*IF([1]RAROC!$B$103=1,VLOOKUP(A52,[2]!Guar_Fee_Table,2),IF([1]RAROC!$B$103=2,VLOOKUP(A52,[2]!Guar_Fee_Table,3),IF([1]RAROC!$B$103=3,VLOOKUP(A52,[2]!Guar_Fee_Table,4,0))))</f>
        <v>0</v>
      </c>
      <c r="AG52" s="851" t="n">
        <f aca="false">8362.95238095238-2660</f>
        <v>5702.95238095238</v>
      </c>
      <c r="AH52" s="852" t="n">
        <f aca="false">IF(AG$77=0,0,AG52/AG$77)</f>
        <v>0.0285147619047619</v>
      </c>
      <c r="AI52" s="853" t="n">
        <v>0</v>
      </c>
      <c r="AJ52" s="107" t="n">
        <f aca="false">IF(AI$77=0,0,AI52/AI$77)</f>
        <v>0</v>
      </c>
      <c r="AK52" s="853" t="n">
        <v>0</v>
      </c>
      <c r="AL52" s="107" t="n">
        <f aca="false">IF(AK$77=0,0,AK52/AK$77)</f>
        <v>0</v>
      </c>
      <c r="AM52" s="853" t="n">
        <v>0</v>
      </c>
      <c r="AN52" s="107" t="n">
        <f aca="false">IF(AM$77=0,0,AM52/AM$77)</f>
        <v>0</v>
      </c>
      <c r="AO52" s="853" t="n">
        <v>0</v>
      </c>
      <c r="AP52" s="107" t="n">
        <f aca="false">IF(AO$77=0,0,AO52/AO$77)</f>
        <v>0</v>
      </c>
      <c r="AQ52" s="853" t="n">
        <v>0</v>
      </c>
      <c r="AR52" s="89" t="n">
        <f aca="false">IF(AQ$77=0,0,AQ52/AQ$77)</f>
        <v>0</v>
      </c>
    </row>
    <row r="53" customFormat="false" ht="12.75" hidden="false" customHeight="false" outlineLevel="0" collapsed="false">
      <c r="A53" s="258" t="n">
        <f aca="false">A51+1</f>
        <v>2009</v>
      </c>
      <c r="B53" s="848" t="n">
        <f aca="false">B52+1</f>
        <v>16</v>
      </c>
      <c r="C53" s="849" t="n">
        <f aca="false">F52</f>
        <v>38033.9347441205</v>
      </c>
      <c r="D53" s="61" t="n">
        <f aca="false">C53*F$32*0.5</f>
        <v>2094.24353184813</v>
      </c>
      <c r="E53" s="557" t="n">
        <f aca="false">IF(F$34=0,0,IF($B53&gt;=F$31,C53,IF(F$33&gt;=$B53,0,IF(C53&gt;1,CHOOSE(F$34,F$29/(F$31-F$33),-PMT(F$32/2,F$31-$B52,C53,0)-D53,F$29*$AH53)))))*Assm!$X$90</f>
        <v>2165.26282173398</v>
      </c>
      <c r="F53" s="824" t="n">
        <f aca="false">C53-E53</f>
        <v>35868.6719223865</v>
      </c>
      <c r="G53" s="849" t="n">
        <f aca="false">J52</f>
        <v>0</v>
      </c>
      <c r="H53" s="61" t="n">
        <f aca="false">G53*J$32*0.5</f>
        <v>0</v>
      </c>
      <c r="I53" s="61" t="n">
        <f aca="false">IF(J$34=0,0,IF($B53&gt;=J$31,G53,IF(J$33&gt;=$B53,0,IF(G53&gt;1,CHOOSE(J$34,J$29/(J$31-J$33),-PMT(J$32/2,J$31-$B52,G53,0)-H53,J$29*$AJ53)))))</f>
        <v>0</v>
      </c>
      <c r="J53" s="824" t="n">
        <f aca="false">G53-I53</f>
        <v>0</v>
      </c>
      <c r="K53" s="849" t="n">
        <f aca="false">N52</f>
        <v>0</v>
      </c>
      <c r="L53" s="61" t="n">
        <f aca="false">K53*N$32*0.5</f>
        <v>0</v>
      </c>
      <c r="M53" s="61" t="n">
        <f aca="false">IF(N$34=0,0,IF($B53&gt;=N$31,K53,IF(N$33&gt;=$B53,0,IF(K53&gt;1,CHOOSE(N$34,N$29/(N$31-N$33),-PMT(N$32/2,N$31-$B52,K53,0)-L53,N$29*$AL53)))))</f>
        <v>0</v>
      </c>
      <c r="N53" s="824" t="n">
        <f aca="false">K53-M53</f>
        <v>0</v>
      </c>
      <c r="O53" s="849" t="n">
        <f aca="false">R52</f>
        <v>0</v>
      </c>
      <c r="P53" s="61" t="n">
        <f aca="false">O53*R$32*0.5</f>
        <v>0</v>
      </c>
      <c r="Q53" s="61" t="n">
        <f aca="false">IF(R$34=0,0,IF($B53&gt;=R$31,O53,IF(R$33&gt;=$B53,0,IF(O53&gt;1,CHOOSE(R$34,R$29/(R$31-R$33),-PMT(R$32/2,R$31-$B52,O53,0)-P53,R$29*$AN53)))))</f>
        <v>0</v>
      </c>
      <c r="R53" s="824" t="n">
        <f aca="false">O53-Q53</f>
        <v>0</v>
      </c>
      <c r="S53" s="849" t="n">
        <f aca="false">V52</f>
        <v>0</v>
      </c>
      <c r="T53" s="61" t="n">
        <f aca="false">S53*V$32*0.5</f>
        <v>0</v>
      </c>
      <c r="U53" s="61" t="n">
        <f aca="false">IF(V$34=0,0,IF($B53&gt;=V$31,S53,IF(V$33&gt;=$B53,0,IF(S53&gt;1,CHOOSE(V$34,V$29/(V$31-V$33),-PMT(V$32/2,V$31-$B52,S53,0)-T53,V$29*$AP53)))))</f>
        <v>0</v>
      </c>
      <c r="V53" s="824" t="n">
        <f aca="false">S53-U53</f>
        <v>0</v>
      </c>
      <c r="W53" s="849" t="n">
        <f aca="false">Z52</f>
        <v>11344.7257689905</v>
      </c>
      <c r="X53" s="61" t="n">
        <f aca="false">W53*Z$32*0.5</f>
        <v>737.407174984382</v>
      </c>
      <c r="Y53" s="61" t="n">
        <f aca="false">IF(Z$34=0,0,IF($B53&gt;=Z$31,W53,IF(Z$33&gt;=$B53,0,IF(W53&gt;1,CHOOSE(Z$34,Z$29/(Z$31-Z$33),-PMT(Z$32/2,Z$31-$B52,W53,0)-X53,Z$29*$AR53)))))</f>
        <v>1125.81992111737</v>
      </c>
      <c r="Z53" s="824" t="n">
        <f aca="false">W53-Y53</f>
        <v>10218.9058478731</v>
      </c>
      <c r="AA53" s="61"/>
      <c r="AB53" s="65"/>
      <c r="AC53" s="61"/>
      <c r="AD53" s="65"/>
      <c r="AE53" s="826"/>
      <c r="AG53" s="851" t="n">
        <f aca="false">8362.95238095238-2660</f>
        <v>5702.95238095238</v>
      </c>
      <c r="AH53" s="852" t="n">
        <f aca="false">IF(AG$77=0,0,AG53/AG$77)</f>
        <v>0.0285147619047619</v>
      </c>
      <c r="AI53" s="853" t="n">
        <v>0</v>
      </c>
      <c r="AJ53" s="107" t="n">
        <f aca="false">IF(AI$77=0,0,AI53/AI$77)</f>
        <v>0</v>
      </c>
      <c r="AK53" s="853" t="n">
        <v>0</v>
      </c>
      <c r="AL53" s="107" t="n">
        <f aca="false">IF(AK$77=0,0,AK53/AK$77)</f>
        <v>0</v>
      </c>
      <c r="AM53" s="853" t="n">
        <v>0</v>
      </c>
      <c r="AN53" s="107" t="n">
        <f aca="false">IF(AM$77=0,0,AM53/AM$77)</f>
        <v>0</v>
      </c>
      <c r="AO53" s="853" t="n">
        <v>0</v>
      </c>
      <c r="AP53" s="107" t="n">
        <f aca="false">IF(AO$77=0,0,AO53/AO$77)</f>
        <v>0</v>
      </c>
      <c r="AQ53" s="853" t="n">
        <v>0</v>
      </c>
      <c r="AR53" s="89" t="n">
        <f aca="false">IF(AQ$77=0,0,AQ53/AQ$77)</f>
        <v>0</v>
      </c>
    </row>
    <row r="54" customFormat="false" ht="12.75" hidden="false" customHeight="false" outlineLevel="0" collapsed="false">
      <c r="A54" s="854" t="n">
        <f aca="false">A53</f>
        <v>2009</v>
      </c>
      <c r="B54" s="855" t="n">
        <f aca="false">B53+1</f>
        <v>17</v>
      </c>
      <c r="C54" s="856" t="n">
        <f aca="false">F53</f>
        <v>35868.6719223865</v>
      </c>
      <c r="D54" s="532" t="n">
        <f aca="false">C54*F$32*0.5</f>
        <v>1975.01874772641</v>
      </c>
      <c r="E54" s="858" t="n">
        <f aca="false">IF(F$34=0,0,IF($B54&gt;=F$31,C54,IF(F$33&gt;=$B54,0,IF(C54&gt;1,CHOOSE(F$34,F$29/(F$31-F$33),-PMT(F$32/2,F$31-$B53,C54,0)-D54,F$29*$AH54)))))*Assm!$X$90</f>
        <v>2165.26282173398</v>
      </c>
      <c r="F54" s="859" t="n">
        <f aca="false">C54-E54</f>
        <v>33703.4091006525</v>
      </c>
      <c r="G54" s="856" t="n">
        <f aca="false">J53</f>
        <v>0</v>
      </c>
      <c r="H54" s="532" t="n">
        <f aca="false">G54*J$32*0.5</f>
        <v>0</v>
      </c>
      <c r="I54" s="532" t="n">
        <f aca="false">IF(J$34=0,0,IF($B54&gt;=J$31,G54,IF(J$33&gt;=$B54,0,IF(G54&gt;1,CHOOSE(J$34,J$29/(J$31-J$33),-PMT(J$32/2,J$31-$B53,G54,0)-H54,J$29*$AJ54)))))</f>
        <v>0</v>
      </c>
      <c r="J54" s="859" t="n">
        <f aca="false">G54-I54</f>
        <v>0</v>
      </c>
      <c r="K54" s="856" t="n">
        <f aca="false">N53</f>
        <v>0</v>
      </c>
      <c r="L54" s="532" t="n">
        <f aca="false">K54*N$32*0.5</f>
        <v>0</v>
      </c>
      <c r="M54" s="532" t="n">
        <f aca="false">IF(N$34=0,0,IF($B54&gt;=N$31,K54,IF(N$33&gt;=$B54,0,IF(K54&gt;1,CHOOSE(N$34,N$29/(N$31-N$33),-PMT(N$32/2,N$31-$B53,K54,0)-L54,N$29*$AL54)))))</f>
        <v>0</v>
      </c>
      <c r="N54" s="859" t="n">
        <f aca="false">K54-M54</f>
        <v>0</v>
      </c>
      <c r="O54" s="856" t="n">
        <f aca="false">R53</f>
        <v>0</v>
      </c>
      <c r="P54" s="532" t="n">
        <f aca="false">O54*R$32*0.5</f>
        <v>0</v>
      </c>
      <c r="Q54" s="532" t="n">
        <f aca="false">IF(R$34=0,0,IF($B54&gt;=R$31,O54,IF(R$33&gt;=$B54,0,IF(O54&gt;1,CHOOSE(R$34,R$29/(R$31-R$33),-PMT(R$32/2,R$31-$B53,O54,0)-P54,R$29*$AN54)))))</f>
        <v>0</v>
      </c>
      <c r="R54" s="859" t="n">
        <f aca="false">O54-Q54</f>
        <v>0</v>
      </c>
      <c r="S54" s="856" t="n">
        <f aca="false">V53</f>
        <v>0</v>
      </c>
      <c r="T54" s="532" t="n">
        <f aca="false">S54*V$32*0.5</f>
        <v>0</v>
      </c>
      <c r="U54" s="532" t="n">
        <f aca="false">IF(V$34=0,0,IF($B54&gt;=V$31,S54,IF(V$33&gt;=$B54,0,IF(S54&gt;1,CHOOSE(V$34,V$29/(V$31-V$33),-PMT(V$32/2,V$31-$B53,S54,0)-T54,V$29*$AP54)))))</f>
        <v>0</v>
      </c>
      <c r="V54" s="859" t="n">
        <f aca="false">S54-U54</f>
        <v>0</v>
      </c>
      <c r="W54" s="856" t="n">
        <f aca="false">Z53</f>
        <v>10218.9058478731</v>
      </c>
      <c r="X54" s="532" t="n">
        <f aca="false">W54*Z$32*0.5</f>
        <v>664.228880111753</v>
      </c>
      <c r="Y54" s="532" t="n">
        <f aca="false">IF(Z$34=0,0,IF($B54&gt;=Z$31,W54,IF(Z$33&gt;=$B54,0,IF(W54&gt;1,CHOOSE(Z$34,Z$29/(Z$31-Z$33),-PMT(Z$32/2,Z$31-$B53,W54,0)-X54,Z$29*$AR54)))))</f>
        <v>1198.99821599</v>
      </c>
      <c r="Z54" s="859" t="n">
        <f aca="false">W54-Y54</f>
        <v>9019.90763188312</v>
      </c>
      <c r="AA54" s="532" t="n">
        <f aca="false">SUM(D53:D54,H53:H54,L53:L54,P53:P54,T53:T54)</f>
        <v>4069.26227957454</v>
      </c>
      <c r="AB54" s="860" t="n">
        <f aca="false">SUM(E53:E54,I53:I54,M53:M54,Q53:Q54,U53:U54)</f>
        <v>4330.52564346797</v>
      </c>
      <c r="AC54" s="532" t="n">
        <f aca="false">SUM(X53:X54)</f>
        <v>1401.63605509613</v>
      </c>
      <c r="AD54" s="860" t="n">
        <f aca="false">SUM(Y53:Y54)</f>
        <v>2324.81813710736</v>
      </c>
      <c r="AE54" s="861" t="n">
        <f aca="false">(C53+G53+W53)*IF([1]RAROC!$B$103=1,VLOOKUP(A54,[2]!Guar_Fee_Table,2),IF([1]RAROC!$B$103=2,VLOOKUP(A54,[2]!Guar_Fee_Table,3),IF([1]RAROC!$B$103=3,VLOOKUP(A54,[2]!Guar_Fee_Table,4,0))))</f>
        <v>0</v>
      </c>
      <c r="AG54" s="851" t="n">
        <f aca="false">8362.95238095238-2660</f>
        <v>5702.95238095238</v>
      </c>
      <c r="AH54" s="852" t="n">
        <f aca="false">IF(AG$77=0,0,AG54/AG$77)</f>
        <v>0.0285147619047619</v>
      </c>
      <c r="AI54" s="853" t="n">
        <v>0</v>
      </c>
      <c r="AJ54" s="107" t="n">
        <f aca="false">IF(AI$77=0,0,AI54/AI$77)</f>
        <v>0</v>
      </c>
      <c r="AK54" s="853" t="n">
        <v>0</v>
      </c>
      <c r="AL54" s="107" t="n">
        <f aca="false">IF(AK$77=0,0,AK54/AK$77)</f>
        <v>0</v>
      </c>
      <c r="AM54" s="853" t="n">
        <v>0</v>
      </c>
      <c r="AN54" s="107" t="n">
        <f aca="false">IF(AM$77=0,0,AM54/AM$77)</f>
        <v>0</v>
      </c>
      <c r="AO54" s="853" t="n">
        <v>0</v>
      </c>
      <c r="AP54" s="107" t="n">
        <f aca="false">IF(AO$77=0,0,AO54/AO$77)</f>
        <v>0</v>
      </c>
      <c r="AQ54" s="853" t="n">
        <v>0</v>
      </c>
      <c r="AR54" s="89" t="n">
        <f aca="false">IF(AQ$77=0,0,AQ54/AQ$77)</f>
        <v>0</v>
      </c>
    </row>
    <row r="55" customFormat="false" ht="12.75" hidden="false" customHeight="false" outlineLevel="0" collapsed="false">
      <c r="A55" s="258" t="n">
        <f aca="false">A53+1</f>
        <v>2010</v>
      </c>
      <c r="B55" s="848" t="n">
        <f aca="false">B54+1</f>
        <v>18</v>
      </c>
      <c r="C55" s="849" t="n">
        <f aca="false">F54</f>
        <v>33703.4091006525</v>
      </c>
      <c r="D55" s="61" t="n">
        <f aca="false">C55*F$32*0.5</f>
        <v>1855.79396360468</v>
      </c>
      <c r="E55" s="557" t="n">
        <f aca="false">IF(F$34=0,0,IF($B55&gt;=F$31,C55,IF(F$33&gt;=$B55,0,IF(C55&gt;1,CHOOSE(F$34,F$29/(F$31-F$33),-PMT(F$32/2,F$31-$B54,C55,0)-D55,F$29*$AH55)))))*Assm!$X$90</f>
        <v>2165.26282173398</v>
      </c>
      <c r="F55" s="824" t="n">
        <f aca="false">C55-E55</f>
        <v>31538.1462789185</v>
      </c>
      <c r="G55" s="849" t="n">
        <f aca="false">J54</f>
        <v>0</v>
      </c>
      <c r="H55" s="61" t="n">
        <f aca="false">G55*J$32*0.5</f>
        <v>0</v>
      </c>
      <c r="I55" s="61" t="n">
        <f aca="false">IF(J$34=0,0,IF($B55&gt;=J$31,G55,IF(J$33&gt;=$B55,0,IF(G55&gt;1,CHOOSE(J$34,J$29/(J$31-J$33),-PMT(J$32/2,J$31-$B54,G55,0)-H55,J$29*$AJ55)))))</f>
        <v>0</v>
      </c>
      <c r="J55" s="824" t="n">
        <f aca="false">G55-I55</f>
        <v>0</v>
      </c>
      <c r="K55" s="849" t="n">
        <f aca="false">N54</f>
        <v>0</v>
      </c>
      <c r="L55" s="61" t="n">
        <f aca="false">K55*N$32*0.5</f>
        <v>0</v>
      </c>
      <c r="M55" s="61" t="n">
        <f aca="false">IF(N$34=0,0,IF($B55&gt;=N$31,K55,IF(N$33&gt;=$B55,0,IF(K55&gt;1,CHOOSE(N$34,N$29/(N$31-N$33),-PMT(N$32/2,N$31-$B54,K55,0)-L55,N$29*$AL55)))))</f>
        <v>0</v>
      </c>
      <c r="N55" s="824" t="n">
        <f aca="false">K55-M55</f>
        <v>0</v>
      </c>
      <c r="O55" s="849" t="n">
        <f aca="false">R54</f>
        <v>0</v>
      </c>
      <c r="P55" s="61" t="n">
        <f aca="false">O55*R$32*0.5</f>
        <v>0</v>
      </c>
      <c r="Q55" s="61" t="n">
        <f aca="false">IF(R$34=0,0,IF($B55&gt;=R$31,O55,IF(R$33&gt;=$B55,0,IF(O55&gt;1,CHOOSE(R$34,R$29/(R$31-R$33),-PMT(R$32/2,R$31-$B54,O55,0)-P55,R$29*$AN55)))))</f>
        <v>0</v>
      </c>
      <c r="R55" s="824" t="n">
        <f aca="false">O55-Q55</f>
        <v>0</v>
      </c>
      <c r="S55" s="849" t="n">
        <f aca="false">V54</f>
        <v>0</v>
      </c>
      <c r="T55" s="61" t="n">
        <f aca="false">S55*V$32*0.5</f>
        <v>0</v>
      </c>
      <c r="U55" s="61" t="n">
        <f aca="false">IF(V$34=0,0,IF($B55&gt;=V$31,S55,IF(V$33&gt;=$B55,0,IF(S55&gt;1,CHOOSE(V$34,V$29/(V$31-V$33),-PMT(V$32/2,V$31-$B54,S55,0)-T55,V$29*$AP55)))))</f>
        <v>0</v>
      </c>
      <c r="V55" s="824" t="n">
        <f aca="false">S55-U55</f>
        <v>0</v>
      </c>
      <c r="W55" s="849" t="n">
        <f aca="false">Z54</f>
        <v>9019.90763188312</v>
      </c>
      <c r="X55" s="61" t="n">
        <f aca="false">W55*Z$32*0.5</f>
        <v>586.293996072403</v>
      </c>
      <c r="Y55" s="61" t="n">
        <f aca="false">IF(Z$34=0,0,IF($B55&gt;=Z$31,W55,IF(Z$33&gt;=$B55,0,IF(W55&gt;1,CHOOSE(Z$34,Z$29/(Z$31-Z$33),-PMT(Z$32/2,Z$31-$B54,W55,0)-X55,Z$29*$AR55)))))</f>
        <v>1276.93310002935</v>
      </c>
      <c r="Z55" s="824" t="n">
        <f aca="false">W55-Y55</f>
        <v>7742.97453185378</v>
      </c>
      <c r="AA55" s="61"/>
      <c r="AB55" s="65"/>
      <c r="AC55" s="61"/>
      <c r="AD55" s="65"/>
      <c r="AE55" s="826"/>
      <c r="AG55" s="851" t="n">
        <f aca="false">8362.95238095238-2660</f>
        <v>5702.95238095238</v>
      </c>
      <c r="AH55" s="852" t="n">
        <f aca="false">IF(AG$77=0,0,AG55/AG$77)</f>
        <v>0.0285147619047619</v>
      </c>
      <c r="AI55" s="853" t="n">
        <v>0</v>
      </c>
      <c r="AJ55" s="107" t="n">
        <f aca="false">IF(AI$77=0,0,AI55/AI$77)</f>
        <v>0</v>
      </c>
      <c r="AK55" s="853" t="n">
        <v>0</v>
      </c>
      <c r="AL55" s="107" t="n">
        <f aca="false">IF(AK$77=0,0,AK55/AK$77)</f>
        <v>0</v>
      </c>
      <c r="AM55" s="853" t="n">
        <v>0</v>
      </c>
      <c r="AN55" s="107" t="n">
        <f aca="false">IF(AM$77=0,0,AM55/AM$77)</f>
        <v>0</v>
      </c>
      <c r="AO55" s="853" t="n">
        <v>0</v>
      </c>
      <c r="AP55" s="107" t="n">
        <f aca="false">IF(AO$77=0,0,AO55/AO$77)</f>
        <v>0</v>
      </c>
      <c r="AQ55" s="853" t="n">
        <v>0</v>
      </c>
      <c r="AR55" s="89" t="n">
        <f aca="false">IF(AQ$77=0,0,AQ55/AQ$77)</f>
        <v>0</v>
      </c>
    </row>
    <row r="56" customFormat="false" ht="12.75" hidden="false" customHeight="false" outlineLevel="0" collapsed="false">
      <c r="A56" s="854" t="n">
        <f aca="false">A55</f>
        <v>2010</v>
      </c>
      <c r="B56" s="855" t="n">
        <f aca="false">B55+1</f>
        <v>19</v>
      </c>
      <c r="C56" s="856" t="n">
        <f aca="false">F55</f>
        <v>31538.1462789185</v>
      </c>
      <c r="D56" s="532" t="n">
        <f aca="false">C56*F$32*0.5</f>
        <v>1736.56917948295</v>
      </c>
      <c r="E56" s="858" t="n">
        <f aca="false">IF(F$34=0,0,IF($B56&gt;=F$31,C56,IF(F$33&gt;=$B56,0,IF(C56&gt;1,CHOOSE(F$34,F$29/(F$31-F$33),-PMT(F$32/2,F$31-$B55,C56,0)-D56,F$29*$AH56)))))*Assm!$X$90</f>
        <v>2165.26282173398</v>
      </c>
      <c r="F56" s="859" t="n">
        <f aca="false">C56-E56</f>
        <v>29372.8834571845</v>
      </c>
      <c r="G56" s="856" t="n">
        <f aca="false">J55</f>
        <v>0</v>
      </c>
      <c r="H56" s="532" t="n">
        <f aca="false">G56*J$32*0.5</f>
        <v>0</v>
      </c>
      <c r="I56" s="532" t="n">
        <f aca="false">IF(J$34=0,0,IF($B56&gt;=J$31,G56,IF(J$33&gt;=$B56,0,IF(G56&gt;1,CHOOSE(J$34,J$29/(J$31-J$33),-PMT(J$32/2,J$31-$B55,G56,0)-H56,J$29*$AJ56)))))</f>
        <v>0</v>
      </c>
      <c r="J56" s="859" t="n">
        <f aca="false">G56-I56</f>
        <v>0</v>
      </c>
      <c r="K56" s="856" t="n">
        <f aca="false">N55</f>
        <v>0</v>
      </c>
      <c r="L56" s="532" t="n">
        <f aca="false">K56*N$32*0.5</f>
        <v>0</v>
      </c>
      <c r="M56" s="532" t="n">
        <f aca="false">IF(N$34=0,0,IF($B56&gt;=N$31,K56,IF(N$33&gt;=$B56,0,IF(K56&gt;1,CHOOSE(N$34,N$29/(N$31-N$33),-PMT(N$32/2,N$31-$B55,K56,0)-L56,N$29*$AL56)))))</f>
        <v>0</v>
      </c>
      <c r="N56" s="859" t="n">
        <f aca="false">K56-M56</f>
        <v>0</v>
      </c>
      <c r="O56" s="856" t="n">
        <f aca="false">R55</f>
        <v>0</v>
      </c>
      <c r="P56" s="532" t="n">
        <f aca="false">O56*R$32*0.5</f>
        <v>0</v>
      </c>
      <c r="Q56" s="532" t="n">
        <f aca="false">IF(R$34=0,0,IF($B56&gt;=R$31,O56,IF(R$33&gt;=$B56,0,IF(O56&gt;1,CHOOSE(R$34,R$29/(R$31-R$33),-PMT(R$32/2,R$31-$B55,O56,0)-P56,R$29*$AN56)))))</f>
        <v>0</v>
      </c>
      <c r="R56" s="859" t="n">
        <f aca="false">O56-Q56</f>
        <v>0</v>
      </c>
      <c r="S56" s="856" t="n">
        <f aca="false">V55</f>
        <v>0</v>
      </c>
      <c r="T56" s="532" t="n">
        <f aca="false">S56*V$32*0.5</f>
        <v>0</v>
      </c>
      <c r="U56" s="532" t="n">
        <f aca="false">IF(V$34=0,0,IF($B56&gt;=V$31,S56,IF(V$33&gt;=$B56,0,IF(S56&gt;1,CHOOSE(V$34,V$29/(V$31-V$33),-PMT(V$32/2,V$31-$B55,S56,0)-T56,V$29*$AP56)))))</f>
        <v>0</v>
      </c>
      <c r="V56" s="859" t="n">
        <f aca="false">S56-U56</f>
        <v>0</v>
      </c>
      <c r="W56" s="856" t="n">
        <f aca="false">Z55</f>
        <v>7742.97453185378</v>
      </c>
      <c r="X56" s="532" t="n">
        <f aca="false">W56*Z$32*0.5</f>
        <v>503.293344570496</v>
      </c>
      <c r="Y56" s="532" t="n">
        <f aca="false">IF(Z$34=0,0,IF($B56&gt;=Z$31,W56,IF(Z$33&gt;=$B56,0,IF(W56&gt;1,CHOOSE(Z$34,Z$29/(Z$31-Z$33),-PMT(Z$32/2,Z$31-$B55,W56,0)-X56,Z$29*$AR56)))))</f>
        <v>1359.93375153125</v>
      </c>
      <c r="Z56" s="859" t="n">
        <f aca="false">W56-Y56</f>
        <v>6383.04078032252</v>
      </c>
      <c r="AA56" s="532" t="n">
        <f aca="false">SUM(D55:D56,H55:H56,L55:L56,P55:P56,T55:T56)</f>
        <v>3592.36314308763</v>
      </c>
      <c r="AB56" s="860" t="n">
        <f aca="false">SUM(E55:E56,I55:I56,M55:M56,Q55:Q56,U55:U56)</f>
        <v>4330.52564346797</v>
      </c>
      <c r="AC56" s="532" t="n">
        <f aca="false">SUM(X55:X56)</f>
        <v>1089.5873406429</v>
      </c>
      <c r="AD56" s="860" t="n">
        <f aca="false">SUM(Y55:Y56)</f>
        <v>2636.8668515606</v>
      </c>
      <c r="AE56" s="861" t="n">
        <f aca="false">(C55+G55+W55)*IF([1]RAROC!$B$103=1,VLOOKUP(A56,[2]!Guar_Fee_Table,2),IF([1]RAROC!$B$103=2,VLOOKUP(A56,[2]!Guar_Fee_Table,3),IF([1]RAROC!$B$103=3,VLOOKUP(A56,[2]!Guar_Fee_Table,4,0))))</f>
        <v>0</v>
      </c>
      <c r="AG56" s="851" t="n">
        <f aca="false">8362.95238095238-2660</f>
        <v>5702.95238095238</v>
      </c>
      <c r="AH56" s="852" t="n">
        <f aca="false">IF(AG$77=0,0,AG56/AG$77)</f>
        <v>0.0285147619047619</v>
      </c>
      <c r="AI56" s="853" t="n">
        <v>0</v>
      </c>
      <c r="AJ56" s="107" t="n">
        <f aca="false">IF(AI$77=0,0,AI56/AI$77)</f>
        <v>0</v>
      </c>
      <c r="AK56" s="853" t="n">
        <v>0</v>
      </c>
      <c r="AL56" s="107" t="n">
        <f aca="false">IF(AK$77=0,0,AK56/AK$77)</f>
        <v>0</v>
      </c>
      <c r="AM56" s="853" t="n">
        <v>0</v>
      </c>
      <c r="AN56" s="107" t="n">
        <f aca="false">IF(AM$77=0,0,AM56/AM$77)</f>
        <v>0</v>
      </c>
      <c r="AO56" s="853" t="n">
        <v>0</v>
      </c>
      <c r="AP56" s="107" t="n">
        <f aca="false">IF(AO$77=0,0,AO56/AO$77)</f>
        <v>0</v>
      </c>
      <c r="AQ56" s="853" t="n">
        <v>0</v>
      </c>
      <c r="AR56" s="89" t="n">
        <f aca="false">IF(AQ$77=0,0,AQ56/AQ$77)</f>
        <v>0</v>
      </c>
    </row>
    <row r="57" customFormat="false" ht="12.75" hidden="false" customHeight="false" outlineLevel="0" collapsed="false">
      <c r="A57" s="258" t="n">
        <f aca="false">A55+1</f>
        <v>2011</v>
      </c>
      <c r="B57" s="848" t="n">
        <f aca="false">B56+1</f>
        <v>20</v>
      </c>
      <c r="C57" s="849" t="n">
        <f aca="false">F56</f>
        <v>29372.8834571845</v>
      </c>
      <c r="D57" s="61" t="n">
        <f aca="false">C57*F$32*0.5</f>
        <v>1617.34439536122</v>
      </c>
      <c r="E57" s="557" t="n">
        <f aca="false">IF(F$34=0,0,IF($B57&gt;=F$31,C57,IF(F$33&gt;=$B57,0,IF(C57&gt;1,CHOOSE(F$34,F$29/(F$31-F$33),-PMT(F$32/2,F$31-$B56,C57,0)-D57,F$29*$AH57)))))*Assm!$X$90</f>
        <v>2165.26282173398</v>
      </c>
      <c r="F57" s="824" t="n">
        <f aca="false">C57-E57</f>
        <v>27207.6206354505</v>
      </c>
      <c r="G57" s="849" t="n">
        <f aca="false">J56</f>
        <v>0</v>
      </c>
      <c r="H57" s="61" t="n">
        <f aca="false">G57*J$32*0.5</f>
        <v>0</v>
      </c>
      <c r="I57" s="61" t="n">
        <f aca="false">IF(J$34=0,0,IF($B57&gt;=J$31,G57,IF(J$33&gt;=$B57,0,IF(G57&gt;1,CHOOSE(J$34,J$29/(J$31-J$33),-PMT(J$32/2,J$31-$B56,G57,0)-H57,J$29*$AJ57)))))</f>
        <v>0</v>
      </c>
      <c r="J57" s="824" t="n">
        <f aca="false">G57-I57</f>
        <v>0</v>
      </c>
      <c r="K57" s="849" t="n">
        <f aca="false">N56</f>
        <v>0</v>
      </c>
      <c r="L57" s="61" t="n">
        <f aca="false">K57*N$32*0.5</f>
        <v>0</v>
      </c>
      <c r="M57" s="61" t="n">
        <f aca="false">IF(N$34=0,0,IF($B57&gt;=N$31,K57,IF(N$33&gt;=$B57,0,IF(K57&gt;1,CHOOSE(N$34,N$29/(N$31-N$33),-PMT(N$32/2,N$31-$B56,K57,0)-L57,N$29*$AL57)))))</f>
        <v>0</v>
      </c>
      <c r="N57" s="824" t="n">
        <f aca="false">K57-M57</f>
        <v>0</v>
      </c>
      <c r="O57" s="849" t="n">
        <f aca="false">R56</f>
        <v>0</v>
      </c>
      <c r="P57" s="61" t="n">
        <f aca="false">O57*R$32*0.5</f>
        <v>0</v>
      </c>
      <c r="Q57" s="61" t="n">
        <f aca="false">IF(R$34=0,0,IF($B57&gt;=R$31,O57,IF(R$33&gt;=$B57,0,IF(O57&gt;1,CHOOSE(R$34,R$29/(R$31-R$33),-PMT(R$32/2,R$31-$B56,O57,0)-P57,R$29*$AN57)))))</f>
        <v>0</v>
      </c>
      <c r="R57" s="824" t="n">
        <f aca="false">O57-Q57</f>
        <v>0</v>
      </c>
      <c r="S57" s="849" t="n">
        <f aca="false">V56</f>
        <v>0</v>
      </c>
      <c r="T57" s="61" t="n">
        <f aca="false">S57*V$32*0.5</f>
        <v>0</v>
      </c>
      <c r="U57" s="61" t="n">
        <f aca="false">IF(V$34=0,0,IF($B57&gt;=V$31,S57,IF(V$33&gt;=$B57,0,IF(S57&gt;1,CHOOSE(V$34,V$29/(V$31-V$33),-PMT(V$32/2,V$31-$B56,S57,0)-T57,V$29*$AP57)))))</f>
        <v>0</v>
      </c>
      <c r="V57" s="824" t="n">
        <f aca="false">S57-U57</f>
        <v>0</v>
      </c>
      <c r="W57" s="849" t="n">
        <f aca="false">Z56</f>
        <v>6383.04078032252</v>
      </c>
      <c r="X57" s="61" t="n">
        <f aca="false">W57*Z$32*0.5</f>
        <v>414.897650720964</v>
      </c>
      <c r="Y57" s="61" t="n">
        <f aca="false">IF(Z$34=0,0,IF($B57&gt;=Z$31,W57,IF(Z$33&gt;=$B57,0,IF(W57&gt;1,CHOOSE(Z$34,Z$29/(Z$31-Z$33),-PMT(Z$32/2,Z$31-$B56,W57,0)-X57,Z$29*$AR57)))))</f>
        <v>1448.32944538079</v>
      </c>
      <c r="Z57" s="824" t="n">
        <f aca="false">W57-Y57</f>
        <v>4934.71133494174</v>
      </c>
      <c r="AA57" s="61"/>
      <c r="AB57" s="65"/>
      <c r="AC57" s="61"/>
      <c r="AD57" s="65"/>
      <c r="AE57" s="826"/>
      <c r="AG57" s="851" t="n">
        <f aca="false">8362.95238095238-2660</f>
        <v>5702.95238095238</v>
      </c>
      <c r="AH57" s="852" t="n">
        <f aca="false">IF(AG$77=0,0,AG57/AG$77)</f>
        <v>0.0285147619047619</v>
      </c>
      <c r="AI57" s="853" t="n">
        <v>0</v>
      </c>
      <c r="AJ57" s="107" t="n">
        <f aca="false">IF(AI$77=0,0,AI57/AI$77)</f>
        <v>0</v>
      </c>
      <c r="AK57" s="853" t="n">
        <v>0</v>
      </c>
      <c r="AL57" s="107" t="n">
        <f aca="false">IF(AK$77=0,0,AK57/AK$77)</f>
        <v>0</v>
      </c>
      <c r="AM57" s="853" t="n">
        <v>0</v>
      </c>
      <c r="AN57" s="107" t="n">
        <f aca="false">IF(AM$77=0,0,AM57/AM$77)</f>
        <v>0</v>
      </c>
      <c r="AO57" s="853" t="n">
        <v>0</v>
      </c>
      <c r="AP57" s="107" t="n">
        <f aca="false">IF(AO$77=0,0,AO57/AO$77)</f>
        <v>0</v>
      </c>
      <c r="AQ57" s="853" t="n">
        <v>0</v>
      </c>
      <c r="AR57" s="89" t="n">
        <f aca="false">IF(AQ$77=0,0,AQ57/AQ$77)</f>
        <v>0</v>
      </c>
    </row>
    <row r="58" customFormat="false" ht="12.75" hidden="false" customHeight="false" outlineLevel="0" collapsed="false">
      <c r="A58" s="854" t="n">
        <f aca="false">A57</f>
        <v>2011</v>
      </c>
      <c r="B58" s="855" t="n">
        <f aca="false">B57+1</f>
        <v>21</v>
      </c>
      <c r="C58" s="856" t="n">
        <f aca="false">F57</f>
        <v>27207.6206354505</v>
      </c>
      <c r="D58" s="532" t="n">
        <f aca="false">C58*F$32*0.5</f>
        <v>1498.1196112395</v>
      </c>
      <c r="E58" s="858" t="n">
        <f aca="false">IF(F$34=0,0,IF($B58&gt;=F$31,C58,IF(F$33&gt;=$B58,0,IF(C58&gt;1,CHOOSE(F$34,F$29/(F$31-F$33),-PMT(F$32/2,F$31-$B57,C58,0)-D58,F$29*$AH58)))))*Assm!$X$90</f>
        <v>3175.19569879065</v>
      </c>
      <c r="F58" s="859" t="n">
        <f aca="false">C58-E58</f>
        <v>24032.4249366599</v>
      </c>
      <c r="G58" s="856" t="n">
        <f aca="false">J57</f>
        <v>0</v>
      </c>
      <c r="H58" s="532" t="n">
        <f aca="false">G58*J$32*0.5</f>
        <v>0</v>
      </c>
      <c r="I58" s="532" t="n">
        <f aca="false">IF(J$34=0,0,IF($B58&gt;=J$31,G58,IF(J$33&gt;=$B58,0,IF(G58&gt;1,CHOOSE(J$34,J$29/(J$31-J$33),-PMT(J$32/2,J$31-$B57,G58,0)-H58,J$29*$AJ58)))))</f>
        <v>0</v>
      </c>
      <c r="J58" s="859" t="n">
        <f aca="false">G58-I58</f>
        <v>0</v>
      </c>
      <c r="K58" s="856" t="n">
        <f aca="false">N57</f>
        <v>0</v>
      </c>
      <c r="L58" s="532" t="n">
        <f aca="false">K58*N$32*0.5</f>
        <v>0</v>
      </c>
      <c r="M58" s="532" t="n">
        <f aca="false">IF(N$34=0,0,IF($B58&gt;=N$31,K58,IF(N$33&gt;=$B58,0,IF(K58&gt;1,CHOOSE(N$34,N$29/(N$31-N$33),-PMT(N$32/2,N$31-$B57,K58,0)-L58,N$29*$AL58)))))</f>
        <v>0</v>
      </c>
      <c r="N58" s="859" t="n">
        <f aca="false">K58-M58</f>
        <v>0</v>
      </c>
      <c r="O58" s="856" t="n">
        <f aca="false">R57</f>
        <v>0</v>
      </c>
      <c r="P58" s="532" t="n">
        <f aca="false">O58*R$32*0.5</f>
        <v>0</v>
      </c>
      <c r="Q58" s="532" t="n">
        <f aca="false">IF(R$34=0,0,IF($B58&gt;=R$31,O58,IF(R$33&gt;=$B58,0,IF(O58&gt;1,CHOOSE(R$34,R$29/(R$31-R$33),-PMT(R$32/2,R$31-$B57,O58,0)-P58,R$29*$AN58)))))</f>
        <v>0</v>
      </c>
      <c r="R58" s="859" t="n">
        <f aca="false">O58-Q58</f>
        <v>0</v>
      </c>
      <c r="S58" s="856" t="n">
        <f aca="false">V57</f>
        <v>0</v>
      </c>
      <c r="T58" s="532" t="n">
        <f aca="false">S58*V$32*0.5</f>
        <v>0</v>
      </c>
      <c r="U58" s="532" t="n">
        <f aca="false">IF(V$34=0,0,IF($B58&gt;=V$31,S58,IF(V$33&gt;=$B58,0,IF(S58&gt;1,CHOOSE(V$34,V$29/(V$31-V$33),-PMT(V$32/2,V$31-$B57,S58,0)-T58,V$29*$AP58)))))</f>
        <v>0</v>
      </c>
      <c r="V58" s="859" t="n">
        <f aca="false">S58-U58</f>
        <v>0</v>
      </c>
      <c r="W58" s="856" t="n">
        <f aca="false">Z57</f>
        <v>4934.71133494174</v>
      </c>
      <c r="X58" s="532" t="n">
        <f aca="false">W58*Z$32*0.5</f>
        <v>320.756236771213</v>
      </c>
      <c r="Y58" s="532" t="n">
        <f aca="false">IF(Z$34=0,0,IF($B58&gt;=Z$31,W58,IF(Z$33&gt;=$B58,0,IF(W58&gt;1,CHOOSE(Z$34,Z$29/(Z$31-Z$33),-PMT(Z$32/2,Z$31-$B57,W58,0)-X58,Z$29*$AR58)))))</f>
        <v>1542.47085933054</v>
      </c>
      <c r="Z58" s="859" t="n">
        <f aca="false">W58-Y58</f>
        <v>3392.2404756112</v>
      </c>
      <c r="AA58" s="532" t="n">
        <f aca="false">SUM(D57:D58,H57:H58,L57:L58,P57:P58,T57:T58)</f>
        <v>3115.46400660072</v>
      </c>
      <c r="AB58" s="860" t="n">
        <f aca="false">SUM(E57:E58,I57:I58,M57:M58,Q57:Q58,U57:U58)</f>
        <v>5340.45852052463</v>
      </c>
      <c r="AC58" s="532" t="n">
        <f aca="false">SUM(X57:X58)</f>
        <v>735.653887492177</v>
      </c>
      <c r="AD58" s="860" t="n">
        <f aca="false">SUM(Y57:Y58)</f>
        <v>2990.80030471132</v>
      </c>
      <c r="AE58" s="861" t="n">
        <f aca="false">(C57+G57+W57)*IF([1]RAROC!$B$103=1,VLOOKUP(A58,[2]!Guar_Fee_Table,2),IF([1]RAROC!$B$103=2,VLOOKUP(A58,[2]!Guar_Fee_Table,3),IF([1]RAROC!$B$103=3,VLOOKUP(A58,[2]!Guar_Fee_Table,4,0))))</f>
        <v>0</v>
      </c>
      <c r="AG58" s="851" t="n">
        <v>8362.95238095238</v>
      </c>
      <c r="AH58" s="852" t="n">
        <f aca="false">IF(AG$77=0,0,AG58/AG$77)</f>
        <v>0.0418147619047619</v>
      </c>
      <c r="AI58" s="853" t="n">
        <v>0</v>
      </c>
      <c r="AJ58" s="107" t="n">
        <f aca="false">IF(AI$77=0,0,AI58/AI$77)</f>
        <v>0</v>
      </c>
      <c r="AK58" s="853" t="n">
        <v>0</v>
      </c>
      <c r="AL58" s="107" t="n">
        <f aca="false">IF(AK$77=0,0,AK58/AK$77)</f>
        <v>0</v>
      </c>
      <c r="AM58" s="853" t="n">
        <v>0</v>
      </c>
      <c r="AN58" s="107" t="n">
        <f aca="false">IF(AM$77=0,0,AM58/AM$77)</f>
        <v>0</v>
      </c>
      <c r="AO58" s="853" t="n">
        <v>0</v>
      </c>
      <c r="AP58" s="107" t="n">
        <f aca="false">IF(AO$77=0,0,AO58/AO$77)</f>
        <v>0</v>
      </c>
      <c r="AQ58" s="853" t="n">
        <v>0</v>
      </c>
      <c r="AR58" s="89" t="n">
        <f aca="false">IF(AQ$77=0,0,AQ58/AQ$77)</f>
        <v>0</v>
      </c>
    </row>
    <row r="59" customFormat="false" ht="12.75" hidden="false" customHeight="false" outlineLevel="0" collapsed="false">
      <c r="A59" s="258" t="n">
        <f aca="false">A57+1</f>
        <v>2012</v>
      </c>
      <c r="B59" s="848" t="n">
        <f aca="false">B58+1</f>
        <v>22</v>
      </c>
      <c r="C59" s="849" t="n">
        <f aca="false">F58</f>
        <v>24032.4249366599</v>
      </c>
      <c r="D59" s="61" t="n">
        <f aca="false">C59*F$32*0.5</f>
        <v>1323.28539807484</v>
      </c>
      <c r="E59" s="557" t="n">
        <f aca="false">IF(F$34=0,0,IF($B59&gt;=F$31,C59,IF(F$33&gt;=$B59,0,IF(C59&gt;1,CHOOSE(F$34,F$29/(F$31-F$33),-PMT(F$32/2,F$31-$B58,C59,0)-D59,F$29*$AH59)))))*Assm!$X$90</f>
        <v>3175.19569879065</v>
      </c>
      <c r="F59" s="824" t="n">
        <f aca="false">C59-E59</f>
        <v>20857.2292378692</v>
      </c>
      <c r="G59" s="849" t="n">
        <f aca="false">J58</f>
        <v>0</v>
      </c>
      <c r="H59" s="61" t="n">
        <f aca="false">G59*J$32*0.5</f>
        <v>0</v>
      </c>
      <c r="I59" s="61" t="n">
        <f aca="false">IF(J$34=0,0,IF($B59&gt;=J$31,G59,IF(J$33&gt;=$B59,0,IF(G59&gt;1,CHOOSE(J$34,J$29/(J$31-J$33),-PMT(J$32/2,J$31-$B58,G59,0)-H59,J$29*$AJ59)))))</f>
        <v>0</v>
      </c>
      <c r="J59" s="824" t="n">
        <f aca="false">G59-I59</f>
        <v>0</v>
      </c>
      <c r="K59" s="849" t="n">
        <f aca="false">N58</f>
        <v>0</v>
      </c>
      <c r="L59" s="61" t="n">
        <f aca="false">K59*N$32*0.5</f>
        <v>0</v>
      </c>
      <c r="M59" s="61" t="n">
        <f aca="false">IF(N$34=0,0,IF($B59&gt;=N$31,K59,IF(N$33&gt;=$B59,0,IF(K59&gt;1,CHOOSE(N$34,N$29/(N$31-N$33),-PMT(N$32/2,N$31-$B58,K59,0)-L59,N$29*$AL59)))))</f>
        <v>0</v>
      </c>
      <c r="N59" s="824" t="n">
        <f aca="false">K59-M59</f>
        <v>0</v>
      </c>
      <c r="O59" s="849" t="n">
        <f aca="false">R58</f>
        <v>0</v>
      </c>
      <c r="P59" s="61" t="n">
        <f aca="false">O59*R$32*0.5</f>
        <v>0</v>
      </c>
      <c r="Q59" s="61" t="n">
        <f aca="false">IF(R$34=0,0,IF($B59&gt;=R$31,O59,IF(R$33&gt;=$B59,0,IF(O59&gt;1,CHOOSE(R$34,R$29/(R$31-R$33),-PMT(R$32/2,R$31-$B58,O59,0)-P59,R$29*$AN59)))))</f>
        <v>0</v>
      </c>
      <c r="R59" s="824" t="n">
        <f aca="false">O59-Q59</f>
        <v>0</v>
      </c>
      <c r="S59" s="849" t="n">
        <f aca="false">V58</f>
        <v>0</v>
      </c>
      <c r="T59" s="61" t="n">
        <f aca="false">S59*V$32*0.5</f>
        <v>0</v>
      </c>
      <c r="U59" s="61" t="n">
        <f aca="false">IF(V$34=0,0,IF($B59&gt;=V$31,S59,IF(V$33&gt;=$B59,0,IF(S59&gt;1,CHOOSE(V$34,V$29/(V$31-V$33),-PMT(V$32/2,V$31-$B58,S59,0)-T59,V$29*$AP59)))))</f>
        <v>0</v>
      </c>
      <c r="V59" s="824" t="n">
        <f aca="false">S59-U59</f>
        <v>0</v>
      </c>
      <c r="W59" s="849" t="n">
        <f aca="false">Z58</f>
        <v>3392.2404756112</v>
      </c>
      <c r="X59" s="61" t="n">
        <f aca="false">W59*Z$32*0.5</f>
        <v>220.495630914728</v>
      </c>
      <c r="Y59" s="61" t="n">
        <f aca="false">IF(Z$34=0,0,IF($B59&gt;=Z$31,W59,IF(Z$33&gt;=$B59,0,IF(W59&gt;1,CHOOSE(Z$34,Z$29/(Z$31-Z$33),-PMT(Z$32/2,Z$31-$B58,W59,0)-X59,Z$29*$AR59)))))</f>
        <v>1642.73146518702</v>
      </c>
      <c r="Z59" s="824" t="n">
        <f aca="false">W59-Y59</f>
        <v>1749.50901042418</v>
      </c>
      <c r="AA59" s="61"/>
      <c r="AB59" s="65"/>
      <c r="AC59" s="61"/>
      <c r="AD59" s="65"/>
      <c r="AE59" s="826"/>
      <c r="AG59" s="851" t="n">
        <v>8362.95238095238</v>
      </c>
      <c r="AH59" s="852" t="n">
        <f aca="false">IF(AG$77=0,0,AG59/AG$77)</f>
        <v>0.0418147619047619</v>
      </c>
      <c r="AI59" s="853" t="n">
        <v>0</v>
      </c>
      <c r="AJ59" s="107" t="n">
        <f aca="false">IF(AI$77=0,0,AI59/AI$77)</f>
        <v>0</v>
      </c>
      <c r="AK59" s="853" t="n">
        <v>0</v>
      </c>
      <c r="AL59" s="107" t="n">
        <f aca="false">IF(AK$77=0,0,AK59/AK$77)</f>
        <v>0</v>
      </c>
      <c r="AM59" s="853" t="n">
        <v>0</v>
      </c>
      <c r="AN59" s="107" t="n">
        <f aca="false">IF(AM$77=0,0,AM59/AM$77)</f>
        <v>0</v>
      </c>
      <c r="AO59" s="853" t="n">
        <v>0</v>
      </c>
      <c r="AP59" s="107" t="n">
        <f aca="false">IF(AO$77=0,0,AO59/AO$77)</f>
        <v>0</v>
      </c>
      <c r="AQ59" s="853" t="n">
        <v>0</v>
      </c>
      <c r="AR59" s="89" t="n">
        <f aca="false">IF(AQ$77=0,0,AQ59/AQ$77)</f>
        <v>0</v>
      </c>
    </row>
    <row r="60" customFormat="false" ht="12.75" hidden="false" customHeight="false" outlineLevel="0" collapsed="false">
      <c r="A60" s="854" t="n">
        <f aca="false">A59</f>
        <v>2012</v>
      </c>
      <c r="B60" s="855" t="n">
        <f aca="false">B59+1</f>
        <v>23</v>
      </c>
      <c r="C60" s="856" t="n">
        <f aca="false">F59</f>
        <v>20857.2292378692</v>
      </c>
      <c r="D60" s="532" t="n">
        <f aca="false">C60*F$32*0.5</f>
        <v>1148.45118491018</v>
      </c>
      <c r="E60" s="858" t="n">
        <f aca="false">IF(F$34=0,0,IF($B60&gt;=F$31,C60,IF(F$33&gt;=$B60,0,IF(C60&gt;1,CHOOSE(F$34,F$29/(F$31-F$33),-PMT(F$32/2,F$31-$B59,C60,0)-D60,F$29*$AH60)))))*Assm!$X$90</f>
        <v>3175.19569879065</v>
      </c>
      <c r="F60" s="859" t="n">
        <f aca="false">C60-E60</f>
        <v>17682.0335390786</v>
      </c>
      <c r="G60" s="856" t="n">
        <f aca="false">J59</f>
        <v>0</v>
      </c>
      <c r="H60" s="532" t="n">
        <f aca="false">G60*J$32*0.5</f>
        <v>0</v>
      </c>
      <c r="I60" s="532" t="n">
        <f aca="false">IF(J$34=0,0,IF($B60&gt;=J$31,G60,IF(J$33&gt;=$B60,0,IF(G60&gt;1,CHOOSE(J$34,J$29/(J$31-J$33),-PMT(J$32/2,J$31-$B59,G60,0)-H60,J$29*$AJ60)))))</f>
        <v>0</v>
      </c>
      <c r="J60" s="859" t="n">
        <f aca="false">G60-I60</f>
        <v>0</v>
      </c>
      <c r="K60" s="856" t="n">
        <f aca="false">N59</f>
        <v>0</v>
      </c>
      <c r="L60" s="532" t="n">
        <f aca="false">K60*N$32*0.5</f>
        <v>0</v>
      </c>
      <c r="M60" s="532" t="n">
        <f aca="false">IF(N$34=0,0,IF($B60&gt;=N$31,K60,IF(N$33&gt;=$B60,0,IF(K60&gt;1,CHOOSE(N$34,N$29/(N$31-N$33),-PMT(N$32/2,N$31-$B59,K60,0)-L60,N$29*$AL60)))))</f>
        <v>0</v>
      </c>
      <c r="N60" s="859" t="n">
        <f aca="false">K60-M60</f>
        <v>0</v>
      </c>
      <c r="O60" s="856" t="n">
        <f aca="false">R59</f>
        <v>0</v>
      </c>
      <c r="P60" s="532" t="n">
        <f aca="false">O60*R$32*0.5</f>
        <v>0</v>
      </c>
      <c r="Q60" s="532" t="n">
        <f aca="false">IF(R$34=0,0,IF($B60&gt;=R$31,O60,IF(R$33&gt;=$B60,0,IF(O60&gt;1,CHOOSE(R$34,R$29/(R$31-R$33),-PMT(R$32/2,R$31-$B59,O60,0)-P60,R$29*$AN60)))))</f>
        <v>0</v>
      </c>
      <c r="R60" s="859" t="n">
        <f aca="false">O60-Q60</f>
        <v>0</v>
      </c>
      <c r="S60" s="856" t="n">
        <f aca="false">V59</f>
        <v>0</v>
      </c>
      <c r="T60" s="532" t="n">
        <f aca="false">S60*V$32*0.5</f>
        <v>0</v>
      </c>
      <c r="U60" s="532" t="n">
        <f aca="false">IF(V$34=0,0,IF($B60&gt;=V$31,S60,IF(V$33&gt;=$B60,0,IF(S60&gt;1,CHOOSE(V$34,V$29/(V$31-V$33),-PMT(V$32/2,V$31-$B59,S60,0)-T60,V$29*$AP60)))))</f>
        <v>0</v>
      </c>
      <c r="V60" s="859" t="n">
        <f aca="false">S60-U60</f>
        <v>0</v>
      </c>
      <c r="W60" s="856" t="n">
        <f aca="false">Z59</f>
        <v>1749.50901042418</v>
      </c>
      <c r="X60" s="532" t="n">
        <f aca="false">W60*Z$32*0.5</f>
        <v>113.718085677572</v>
      </c>
      <c r="Y60" s="532" t="n">
        <f aca="false">IF(Z$34=0,0,IF($B60&gt;=Z$31,W60,IF(Z$33&gt;=$B60,0,IF(W60&gt;1,CHOOSE(Z$34,Z$29/(Z$31-Z$33),-PMT(Z$32/2,Z$31-$B59,W60,0)-X60,Z$29*$AR60)))))</f>
        <v>1749.50901042418</v>
      </c>
      <c r="Z60" s="859" t="n">
        <f aca="false">W60-Y60</f>
        <v>0</v>
      </c>
      <c r="AA60" s="532" t="n">
        <f aca="false">SUM(D59:D60,H59:H60,L59:L60,P59:P60,T59:T60)</f>
        <v>2471.73658298501</v>
      </c>
      <c r="AB60" s="860" t="n">
        <f aca="false">SUM(E59:E60,I59:I60,M59:M60,Q59:Q60,U59:U60)</f>
        <v>6350.3913975813</v>
      </c>
      <c r="AC60" s="532" t="n">
        <f aca="false">SUM(X59:X60)</f>
        <v>334.2137165923</v>
      </c>
      <c r="AD60" s="860" t="n">
        <f aca="false">SUM(Y59:Y60)</f>
        <v>3392.2404756112</v>
      </c>
      <c r="AE60" s="861" t="n">
        <f aca="false">(C59+G59+W59)*IF([1]RAROC!$B$103=1,VLOOKUP(A60,[2]!Guar_Fee_Table,2),IF([1]RAROC!$B$103=2,VLOOKUP(A60,[2]!Guar_Fee_Table,3),IF([1]RAROC!$B$103=3,VLOOKUP(A60,[2]!Guar_Fee_Table,4,0))))</f>
        <v>0</v>
      </c>
      <c r="AG60" s="851" t="n">
        <v>8362.95238095238</v>
      </c>
      <c r="AH60" s="852" t="n">
        <f aca="false">IF(AG$77=0,0,AG60/AG$77)</f>
        <v>0.0418147619047619</v>
      </c>
      <c r="AI60" s="853" t="n">
        <v>0</v>
      </c>
      <c r="AJ60" s="107" t="n">
        <f aca="false">IF(AI$77=0,0,AI60/AI$77)</f>
        <v>0</v>
      </c>
      <c r="AK60" s="853" t="n">
        <v>0</v>
      </c>
      <c r="AL60" s="107" t="n">
        <f aca="false">IF(AK$77=0,0,AK60/AK$77)</f>
        <v>0</v>
      </c>
      <c r="AM60" s="853" t="n">
        <v>0</v>
      </c>
      <c r="AN60" s="107" t="n">
        <f aca="false">IF(AM$77=0,0,AM60/AM$77)</f>
        <v>0</v>
      </c>
      <c r="AO60" s="853" t="n">
        <v>0</v>
      </c>
      <c r="AP60" s="107" t="n">
        <f aca="false">IF(AO$77=0,0,AO60/AO$77)</f>
        <v>0</v>
      </c>
      <c r="AQ60" s="853" t="n">
        <v>0</v>
      </c>
      <c r="AR60" s="89" t="n">
        <f aca="false">IF(AQ$77=0,0,AQ60/AQ$77)</f>
        <v>0</v>
      </c>
    </row>
    <row r="61" customFormat="false" ht="12.75" hidden="false" customHeight="false" outlineLevel="0" collapsed="false">
      <c r="A61" s="258" t="n">
        <f aca="false">A59+1</f>
        <v>2013</v>
      </c>
      <c r="B61" s="848" t="n">
        <f aca="false">B60+1</f>
        <v>24</v>
      </c>
      <c r="C61" s="849" t="n">
        <f aca="false">F60</f>
        <v>17682.0335390786</v>
      </c>
      <c r="D61" s="61" t="n">
        <f aca="false">C61*F$32*0.5</f>
        <v>973.616971745515</v>
      </c>
      <c r="E61" s="557" t="n">
        <f aca="false">IF(F$34=0,0,IF($B61&gt;=F$31,C61,IF(F$33&gt;=$B61,0,IF(C61&gt;1,CHOOSE(F$34,F$29/(F$31-F$33),-PMT(F$32/2,F$31-$B60,C61,0)-D61,F$29*$AH61)))))*Assm!$X$90</f>
        <v>3175.19569879065</v>
      </c>
      <c r="F61" s="824" t="n">
        <f aca="false">C61-E61</f>
        <v>14506.837840288</v>
      </c>
      <c r="G61" s="849" t="n">
        <f aca="false">J60</f>
        <v>0</v>
      </c>
      <c r="H61" s="61" t="n">
        <f aca="false">G61*J$32*0.5</f>
        <v>0</v>
      </c>
      <c r="I61" s="61" t="n">
        <f aca="false">IF(J$34=0,0,IF($B61&gt;=J$31,G61,IF(J$33&gt;=$B61,0,IF(G61&gt;1,CHOOSE(J$34,J$29/(J$31-J$33),-PMT(J$32/2,J$31-$B60,G61,0)-H61,J$29*$AJ61)))))</f>
        <v>0</v>
      </c>
      <c r="J61" s="824" t="n">
        <f aca="false">G61-I61</f>
        <v>0</v>
      </c>
      <c r="K61" s="849" t="n">
        <f aca="false">N60</f>
        <v>0</v>
      </c>
      <c r="L61" s="61" t="n">
        <f aca="false">K61*N$32*0.5</f>
        <v>0</v>
      </c>
      <c r="M61" s="61" t="n">
        <f aca="false">IF(N$34=0,0,IF($B61&gt;=N$31,K61,IF(N$33&gt;=$B61,0,IF(K61&gt;1,CHOOSE(N$34,N$29/(N$31-N$33),-PMT(N$32/2,N$31-$B60,K61,0)-L61,N$29*$AL61)))))</f>
        <v>0</v>
      </c>
      <c r="N61" s="824" t="n">
        <f aca="false">K61-M61</f>
        <v>0</v>
      </c>
      <c r="O61" s="849" t="n">
        <f aca="false">R60</f>
        <v>0</v>
      </c>
      <c r="P61" s="61" t="n">
        <f aca="false">O61*R$32*0.5</f>
        <v>0</v>
      </c>
      <c r="Q61" s="61" t="n">
        <f aca="false">IF(R$34=0,0,IF($B61&gt;=R$31,O61,IF(R$33&gt;=$B61,0,IF(O61&gt;1,CHOOSE(R$34,R$29/(R$31-R$33),-PMT(R$32/2,R$31-$B60,O61,0)-P61,R$29*$AN61)))))</f>
        <v>0</v>
      </c>
      <c r="R61" s="824" t="n">
        <f aca="false">O61-Q61</f>
        <v>0</v>
      </c>
      <c r="S61" s="849" t="n">
        <f aca="false">V60</f>
        <v>0</v>
      </c>
      <c r="T61" s="61" t="n">
        <f aca="false">S61*V$32*0.5</f>
        <v>0</v>
      </c>
      <c r="U61" s="61" t="n">
        <f aca="false">IF(V$34=0,0,IF($B61&gt;=V$31,S61,IF(V$33&gt;=$B61,0,IF(S61&gt;1,CHOOSE(V$34,V$29/(V$31-V$33),-PMT(V$32/2,V$31-$B60,S61,0)-T61,V$29*$AP61)))))</f>
        <v>0</v>
      </c>
      <c r="V61" s="824" t="n">
        <f aca="false">S61-U61</f>
        <v>0</v>
      </c>
      <c r="W61" s="849" t="n">
        <f aca="false">Z60</f>
        <v>0</v>
      </c>
      <c r="X61" s="61" t="n">
        <f aca="false">W61*Z$32*0.5</f>
        <v>0</v>
      </c>
      <c r="Y61" s="61" t="n">
        <f aca="false">IF(Z$34=0,0,IF($B61&gt;=Z$31,W61,IF(Z$33&gt;=$B61,0,IF(W61&gt;1,CHOOSE(Z$34,Z$29/(Z$31-Z$33),-PMT(Z$32/2,Z$31-$B60,W61,0)-X61,Z$29*$AR61)))))</f>
        <v>0</v>
      </c>
      <c r="Z61" s="824" t="n">
        <f aca="false">W61-Y61</f>
        <v>0</v>
      </c>
      <c r="AA61" s="61"/>
      <c r="AB61" s="65"/>
      <c r="AC61" s="61"/>
      <c r="AD61" s="65"/>
      <c r="AE61" s="826"/>
      <c r="AG61" s="851" t="n">
        <v>8362.95238095238</v>
      </c>
      <c r="AH61" s="852" t="n">
        <f aca="false">IF(AG$77=0,0,AG61/AG$77)</f>
        <v>0.0418147619047619</v>
      </c>
      <c r="AI61" s="853" t="n">
        <v>0</v>
      </c>
      <c r="AJ61" s="107" t="n">
        <f aca="false">IF(AI$77=0,0,AI61/AI$77)</f>
        <v>0</v>
      </c>
      <c r="AK61" s="853" t="n">
        <v>0</v>
      </c>
      <c r="AL61" s="107" t="n">
        <f aca="false">IF(AK$77=0,0,AK61/AK$77)</f>
        <v>0</v>
      </c>
      <c r="AM61" s="853" t="n">
        <v>0</v>
      </c>
      <c r="AN61" s="107" t="n">
        <f aca="false">IF(AM$77=0,0,AM61/AM$77)</f>
        <v>0</v>
      </c>
      <c r="AO61" s="853" t="n">
        <v>0</v>
      </c>
      <c r="AP61" s="107" t="n">
        <f aca="false">IF(AO$77=0,0,AO61/AO$77)</f>
        <v>0</v>
      </c>
      <c r="AQ61" s="853" t="n">
        <v>0</v>
      </c>
      <c r="AR61" s="89" t="n">
        <f aca="false">IF(AQ$77=0,0,AQ61/AQ$77)</f>
        <v>0</v>
      </c>
    </row>
    <row r="62" customFormat="false" ht="12.75" hidden="false" customHeight="false" outlineLevel="0" collapsed="false">
      <c r="A62" s="854" t="n">
        <f aca="false">A61</f>
        <v>2013</v>
      </c>
      <c r="B62" s="855" t="n">
        <f aca="false">B61+1</f>
        <v>25</v>
      </c>
      <c r="C62" s="856" t="n">
        <f aca="false">F61</f>
        <v>14506.837840288</v>
      </c>
      <c r="D62" s="532" t="n">
        <f aca="false">C62*F$32*0.5</f>
        <v>798.782758580855</v>
      </c>
      <c r="E62" s="858" t="n">
        <f aca="false">IF(F$34=0,0,IF($B62&gt;=F$31,C62,IF(F$33&gt;=$B62,0,IF(C62&gt;1,CHOOSE(F$34,F$29/(F$31-F$33),-PMT(F$32/2,F$31-$B61,C62,0)-D62,F$29*$AH62)))))*Assm!$X$90</f>
        <v>3175.19569879065</v>
      </c>
      <c r="F62" s="859" t="n">
        <f aca="false">C62-E62</f>
        <v>11331.6421414973</v>
      </c>
      <c r="G62" s="856" t="n">
        <f aca="false">J61</f>
        <v>0</v>
      </c>
      <c r="H62" s="532" t="n">
        <f aca="false">G62*J$32*0.5</f>
        <v>0</v>
      </c>
      <c r="I62" s="532" t="n">
        <f aca="false">IF(J$34=0,0,IF($B62&gt;=J$31,G62,IF(J$33&gt;=$B62,0,IF(G62&gt;1,CHOOSE(J$34,J$29/(J$31-J$33),-PMT(J$32/2,J$31-$B61,G62,0)-H62,J$29*$AJ62)))))</f>
        <v>0</v>
      </c>
      <c r="J62" s="859" t="n">
        <f aca="false">G62-I62</f>
        <v>0</v>
      </c>
      <c r="K62" s="856" t="n">
        <f aca="false">N61</f>
        <v>0</v>
      </c>
      <c r="L62" s="532" t="n">
        <f aca="false">K62*N$32*0.5</f>
        <v>0</v>
      </c>
      <c r="M62" s="532" t="n">
        <f aca="false">IF(N$34=0,0,IF($B62&gt;=N$31,K62,IF(N$33&gt;=$B62,0,IF(K62&gt;1,CHOOSE(N$34,N$29/(N$31-N$33),-PMT(N$32/2,N$31-$B61,K62,0)-L62,N$29*$AL62)))))</f>
        <v>0</v>
      </c>
      <c r="N62" s="859" t="n">
        <f aca="false">K62-M62</f>
        <v>0</v>
      </c>
      <c r="O62" s="856" t="n">
        <f aca="false">R61</f>
        <v>0</v>
      </c>
      <c r="P62" s="532" t="n">
        <f aca="false">O62*R$32*0.5</f>
        <v>0</v>
      </c>
      <c r="Q62" s="532" t="n">
        <f aca="false">IF(R$34=0,0,IF($B62&gt;=R$31,O62,IF(R$33&gt;=$B62,0,IF(O62&gt;1,CHOOSE(R$34,R$29/(R$31-R$33),-PMT(R$32/2,R$31-$B61,O62,0)-P62,R$29*$AN62)))))</f>
        <v>0</v>
      </c>
      <c r="R62" s="859" t="n">
        <f aca="false">O62-Q62</f>
        <v>0</v>
      </c>
      <c r="S62" s="856" t="n">
        <f aca="false">V61</f>
        <v>0</v>
      </c>
      <c r="T62" s="532" t="n">
        <f aca="false">S62*V$32*0.5</f>
        <v>0</v>
      </c>
      <c r="U62" s="532" t="n">
        <f aca="false">IF(V$34=0,0,IF($B62&gt;=V$31,S62,IF(V$33&gt;=$B62,0,IF(S62&gt;1,CHOOSE(V$34,V$29/(V$31-V$33),-PMT(V$32/2,V$31-$B61,S62,0)-T62,V$29*$AP62)))))</f>
        <v>0</v>
      </c>
      <c r="V62" s="859" t="n">
        <f aca="false">S62-U62</f>
        <v>0</v>
      </c>
      <c r="W62" s="856" t="n">
        <f aca="false">Z61</f>
        <v>0</v>
      </c>
      <c r="X62" s="532" t="n">
        <f aca="false">W62*Z$32*0.5</f>
        <v>0</v>
      </c>
      <c r="Y62" s="532" t="n">
        <f aca="false">IF(Z$34=0,0,IF($B62&gt;=Z$31,W62,IF(Z$33&gt;=$B62,0,IF(W62&gt;1,CHOOSE(Z$34,Z$29/(Z$31-Z$33),-PMT(Z$32/2,Z$31-$B61,W62,0)-X62,Z$29*$AR62)))))</f>
        <v>0</v>
      </c>
      <c r="Z62" s="859" t="n">
        <f aca="false">W62-Y62</f>
        <v>0</v>
      </c>
      <c r="AA62" s="532" t="n">
        <f aca="false">SUM(D61:D62,H61:H62,L61:L62,P61:P62,T61:T62)</f>
        <v>1772.39973032637</v>
      </c>
      <c r="AB62" s="860" t="n">
        <f aca="false">SUM(E61:E62,I61:I62,M61:M62,Q61:Q62,U61:U62)</f>
        <v>6350.3913975813</v>
      </c>
      <c r="AC62" s="532" t="n">
        <f aca="false">SUM(X61:X62)</f>
        <v>0</v>
      </c>
      <c r="AD62" s="860" t="n">
        <f aca="false">SUM(Y61:Y62)</f>
        <v>0</v>
      </c>
      <c r="AE62" s="861" t="n">
        <f aca="false">(C61+G61+W61)*IF([1]RAROC!$B$103=1,VLOOKUP(A62,[2]!Guar_Fee_Table,2),IF([1]RAROC!$B$103=2,VLOOKUP(A62,[2]!Guar_Fee_Table,3),IF([1]RAROC!$B$103=3,VLOOKUP(A62,[2]!Guar_Fee_Table,4,0))))</f>
        <v>0</v>
      </c>
      <c r="AG62" s="851" t="n">
        <v>8362.95238095238</v>
      </c>
      <c r="AH62" s="852" t="n">
        <f aca="false">IF(AG$77=0,0,AG62/AG$77)</f>
        <v>0.0418147619047619</v>
      </c>
      <c r="AI62" s="853" t="n">
        <v>0</v>
      </c>
      <c r="AJ62" s="107" t="n">
        <f aca="false">IF(AI$77=0,0,AI62/AI$77)</f>
        <v>0</v>
      </c>
      <c r="AK62" s="853" t="n">
        <v>0</v>
      </c>
      <c r="AL62" s="107" t="n">
        <f aca="false">IF(AK$77=0,0,AK62/AK$77)</f>
        <v>0</v>
      </c>
      <c r="AM62" s="853" t="n">
        <v>0</v>
      </c>
      <c r="AN62" s="107" t="n">
        <f aca="false">IF(AM$77=0,0,AM62/AM$77)</f>
        <v>0</v>
      </c>
      <c r="AO62" s="853" t="n">
        <v>0</v>
      </c>
      <c r="AP62" s="107" t="n">
        <f aca="false">IF(AO$77=0,0,AO62/AO$77)</f>
        <v>0</v>
      </c>
      <c r="AQ62" s="853" t="n">
        <v>0</v>
      </c>
      <c r="AR62" s="89" t="n">
        <f aca="false">IF(AQ$77=0,0,AQ62/AQ$77)</f>
        <v>0</v>
      </c>
    </row>
    <row r="63" customFormat="false" ht="12.75" hidden="false" customHeight="false" outlineLevel="0" collapsed="false">
      <c r="A63" s="258" t="n">
        <f aca="false">A61+1</f>
        <v>2014</v>
      </c>
      <c r="B63" s="848" t="n">
        <f aca="false">B62+1</f>
        <v>26</v>
      </c>
      <c r="C63" s="849" t="n">
        <f aca="false">F62</f>
        <v>11331.6421414973</v>
      </c>
      <c r="D63" s="61" t="n">
        <f aca="false">C63*F$32*0.5</f>
        <v>623.948545416195</v>
      </c>
      <c r="E63" s="557" t="n">
        <f aca="false">IF(F$34=0,0,IF($B63&gt;=F$31,C63,IF(F$33&gt;=$B63,0,IF(C63&gt;1,CHOOSE(F$34,F$29/(F$31-F$33),-PMT(F$32/2,F$31-$B62,C63,0)-D63,F$29*$AH63)))))*Assm!$X$90</f>
        <v>3175.19569879065</v>
      </c>
      <c r="F63" s="824" t="n">
        <f aca="false">C63-E63</f>
        <v>8156.44644270665</v>
      </c>
      <c r="G63" s="849" t="n">
        <f aca="false">J62</f>
        <v>0</v>
      </c>
      <c r="H63" s="61" t="n">
        <f aca="false">G63*J$32*0.5</f>
        <v>0</v>
      </c>
      <c r="I63" s="61" t="n">
        <f aca="false">IF(J$34=0,0,IF($B63&gt;=J$31,G63,IF(J$33&gt;=$B63,0,IF(G63&gt;1,CHOOSE(J$34,J$29/(J$31-J$33),-PMT(J$32/2,J$31-$B62,G63,0)-H63,J$29*$AJ63)))))</f>
        <v>0</v>
      </c>
      <c r="J63" s="824" t="n">
        <f aca="false">G63-I63</f>
        <v>0</v>
      </c>
      <c r="K63" s="849" t="n">
        <f aca="false">N62</f>
        <v>0</v>
      </c>
      <c r="L63" s="61" t="n">
        <f aca="false">K63*N$32*0.5</f>
        <v>0</v>
      </c>
      <c r="M63" s="61" t="n">
        <f aca="false">IF(N$34=0,0,IF($B63&gt;=N$31,K63,IF(N$33&gt;=$B63,0,IF(K63&gt;1,CHOOSE(N$34,N$29/(N$31-N$33),-PMT(N$32/2,N$31-$B62,K63,0)-L63,N$29*$AL63)))))</f>
        <v>0</v>
      </c>
      <c r="N63" s="824" t="n">
        <f aca="false">K63-M63</f>
        <v>0</v>
      </c>
      <c r="O63" s="849" t="n">
        <f aca="false">R62</f>
        <v>0</v>
      </c>
      <c r="P63" s="61" t="n">
        <f aca="false">O63*R$32*0.5</f>
        <v>0</v>
      </c>
      <c r="Q63" s="61" t="n">
        <f aca="false">IF(R$34=0,0,IF($B63&gt;=R$31,O63,IF(R$33&gt;=$B63,0,IF(O63&gt;1,CHOOSE(R$34,R$29/(R$31-R$33),-PMT(R$32/2,R$31-$B62,O63,0)-P63,R$29*$AN63)))))</f>
        <v>0</v>
      </c>
      <c r="R63" s="824" t="n">
        <f aca="false">O63-Q63</f>
        <v>0</v>
      </c>
      <c r="S63" s="849" t="n">
        <f aca="false">V62</f>
        <v>0</v>
      </c>
      <c r="T63" s="61" t="n">
        <f aca="false">S63*V$32*0.5</f>
        <v>0</v>
      </c>
      <c r="U63" s="61" t="n">
        <f aca="false">IF(V$34=0,0,IF($B63&gt;=V$31,S63,IF(V$33&gt;=$B63,0,IF(S63&gt;1,CHOOSE(V$34,V$29/(V$31-V$33),-PMT(V$32/2,V$31-$B62,S63,0)-T63,V$29*$AP63)))))</f>
        <v>0</v>
      </c>
      <c r="V63" s="824" t="n">
        <f aca="false">S63-U63</f>
        <v>0</v>
      </c>
      <c r="W63" s="849" t="n">
        <f aca="false">Z62</f>
        <v>0</v>
      </c>
      <c r="X63" s="61" t="n">
        <f aca="false">W63*Z$32*0.5</f>
        <v>0</v>
      </c>
      <c r="Y63" s="61" t="n">
        <f aca="false">IF(Z$34=0,0,IF($B63&gt;=Z$31,W63,IF(Z$33&gt;=$B63,0,IF(W63&gt;1,CHOOSE(Z$34,Z$29/(Z$31-Z$33),-PMT(Z$32/2,Z$31-$B62,W63,0)-X63,Z$29*$AR63)))))</f>
        <v>0</v>
      </c>
      <c r="Z63" s="824" t="n">
        <f aca="false">W63-Y63</f>
        <v>0</v>
      </c>
      <c r="AA63" s="61"/>
      <c r="AB63" s="65"/>
      <c r="AC63" s="61"/>
      <c r="AD63" s="65"/>
      <c r="AE63" s="826"/>
      <c r="AG63" s="851" t="n">
        <v>8362.95238095238</v>
      </c>
      <c r="AH63" s="852" t="n">
        <f aca="false">IF(AG$77=0,0,AG63/AG$77)</f>
        <v>0.0418147619047619</v>
      </c>
      <c r="AI63" s="853" t="n">
        <v>0</v>
      </c>
      <c r="AJ63" s="107" t="n">
        <f aca="false">IF(AI$77=0,0,AI63/AI$77)</f>
        <v>0</v>
      </c>
      <c r="AK63" s="853" t="n">
        <v>0</v>
      </c>
      <c r="AL63" s="107" t="n">
        <f aca="false">IF(AK$77=0,0,AK63/AK$77)</f>
        <v>0</v>
      </c>
      <c r="AM63" s="853" t="n">
        <v>0</v>
      </c>
      <c r="AN63" s="107" t="n">
        <f aca="false">IF(AM$77=0,0,AM63/AM$77)</f>
        <v>0</v>
      </c>
      <c r="AO63" s="853" t="n">
        <v>0</v>
      </c>
      <c r="AP63" s="107" t="n">
        <f aca="false">IF(AO$77=0,0,AO63/AO$77)</f>
        <v>0</v>
      </c>
      <c r="AQ63" s="853" t="n">
        <v>0</v>
      </c>
      <c r="AR63" s="89" t="n">
        <f aca="false">IF(AQ$77=0,0,AQ63/AQ$77)</f>
        <v>0</v>
      </c>
    </row>
    <row r="64" customFormat="false" ht="12.75" hidden="false" customHeight="false" outlineLevel="0" collapsed="false">
      <c r="A64" s="854" t="n">
        <f aca="false">A63</f>
        <v>2014</v>
      </c>
      <c r="B64" s="855" t="n">
        <f aca="false">B63+1</f>
        <v>27</v>
      </c>
      <c r="C64" s="856" t="n">
        <f aca="false">F63</f>
        <v>8156.44644270665</v>
      </c>
      <c r="D64" s="532" t="n">
        <f aca="false">C64*F$32*0.5</f>
        <v>449.114332251535</v>
      </c>
      <c r="E64" s="858" t="n">
        <f aca="false">IF(F$34=0,0,IF($B64&gt;=F$31,C64,IF(F$33&gt;=$B64,0,IF(C64&gt;1,CHOOSE(F$34,F$29/(F$31-F$33),-PMT(F$32/2,F$31-$B63,C64,0)-D64,F$29*$AH64)))))*Assm!$X$90</f>
        <v>3403.00010714929</v>
      </c>
      <c r="F64" s="859" t="n">
        <f aca="false">C64-E64</f>
        <v>4753.44633555736</v>
      </c>
      <c r="G64" s="856" t="n">
        <f aca="false">J63</f>
        <v>0</v>
      </c>
      <c r="H64" s="532" t="n">
        <f aca="false">G64*J$32*0.5</f>
        <v>0</v>
      </c>
      <c r="I64" s="532" t="n">
        <f aca="false">IF(J$34=0,0,IF($B64&gt;=J$31,G64,IF(J$33&gt;=$B64,0,IF(G64&gt;1,CHOOSE(J$34,J$29/(J$31-J$33),-PMT(J$32/2,J$31-$B63,G64,0)-H64,J$29*$AJ64)))))</f>
        <v>0</v>
      </c>
      <c r="J64" s="859" t="n">
        <f aca="false">G64-I64</f>
        <v>0</v>
      </c>
      <c r="K64" s="856" t="n">
        <f aca="false">N63</f>
        <v>0</v>
      </c>
      <c r="L64" s="532" t="n">
        <f aca="false">K64*N$32*0.5</f>
        <v>0</v>
      </c>
      <c r="M64" s="532" t="n">
        <f aca="false">IF(N$34=0,0,IF($B64&gt;=N$31,K64,IF(N$33&gt;=$B64,0,IF(K64&gt;1,CHOOSE(N$34,N$29/(N$31-N$33),-PMT(N$32/2,N$31-$B63,K64,0)-L64,N$29*$AL64)))))</f>
        <v>0</v>
      </c>
      <c r="N64" s="859" t="n">
        <f aca="false">K64-M64</f>
        <v>0</v>
      </c>
      <c r="O64" s="856" t="n">
        <f aca="false">R63</f>
        <v>0</v>
      </c>
      <c r="P64" s="532" t="n">
        <f aca="false">O64*R$32*0.5</f>
        <v>0</v>
      </c>
      <c r="Q64" s="532" t="n">
        <f aca="false">IF(R$34=0,0,IF($B64&gt;=R$31,O64,IF(R$33&gt;=$B64,0,IF(O64&gt;1,CHOOSE(R$34,R$29/(R$31-R$33),-PMT(R$32/2,R$31-$B63,O64,0)-P64,R$29*$AN64)))))</f>
        <v>0</v>
      </c>
      <c r="R64" s="859" t="n">
        <f aca="false">O64-Q64</f>
        <v>0</v>
      </c>
      <c r="S64" s="856" t="n">
        <f aca="false">V63</f>
        <v>0</v>
      </c>
      <c r="T64" s="532" t="n">
        <f aca="false">S64*V$32*0.5</f>
        <v>0</v>
      </c>
      <c r="U64" s="532" t="n">
        <f aca="false">IF(V$34=0,0,IF($B64&gt;=V$31,S64,IF(V$33&gt;=$B64,0,IF(S64&gt;1,CHOOSE(V$34,V$29/(V$31-V$33),-PMT(V$32/2,V$31-$B63,S64,0)-T64,V$29*$AP64)))))</f>
        <v>0</v>
      </c>
      <c r="V64" s="859" t="n">
        <f aca="false">S64-U64</f>
        <v>0</v>
      </c>
      <c r="W64" s="856" t="n">
        <f aca="false">Z63</f>
        <v>0</v>
      </c>
      <c r="X64" s="532" t="n">
        <f aca="false">W64*Z$32*0.5</f>
        <v>0</v>
      </c>
      <c r="Y64" s="532" t="n">
        <f aca="false">IF(Z$34=0,0,IF($B64&gt;=Z$31,W64,IF(Z$33&gt;=$B64,0,IF(W64&gt;1,CHOOSE(Z$34,Z$29/(Z$31-Z$33),-PMT(Z$32/2,Z$31-$B63,W64,0)-X64,Z$29*$AR64)))))</f>
        <v>0</v>
      </c>
      <c r="Z64" s="859" t="n">
        <f aca="false">W64-Y64</f>
        <v>0</v>
      </c>
      <c r="AA64" s="532" t="n">
        <f aca="false">SUM(D63:D64,H63:H64,L63:L64,P63:P64,T63:T64)</f>
        <v>1073.06287766773</v>
      </c>
      <c r="AB64" s="860" t="n">
        <f aca="false">SUM(E63:E64,I63:I64,M63:M64,Q63:Q64,U63:U64)</f>
        <v>6578.19580593994</v>
      </c>
      <c r="AC64" s="532" t="n">
        <f aca="false">SUM(X63:X64)</f>
        <v>0</v>
      </c>
      <c r="AD64" s="860" t="n">
        <f aca="false">SUM(Y63:Y64)</f>
        <v>0</v>
      </c>
      <c r="AE64" s="861" t="n">
        <f aca="false">(C63+G63+W63)*IF([1]RAROC!$B$103=1,VLOOKUP(A64,[2]!Guar_Fee_Table,2),IF([1]RAROC!$B$103=2,VLOOKUP(A64,[2]!Guar_Fee_Table,3),IF([1]RAROC!$B$103=3,VLOOKUP(A64,[2]!Guar_Fee_Table,4,0))))</f>
        <v>0</v>
      </c>
      <c r="AG64" s="851" t="n">
        <f aca="false">8362.95238095238+200+400</f>
        <v>8962.95238095238</v>
      </c>
      <c r="AH64" s="852" t="n">
        <f aca="false">IF(AG$77=0,0,AG64/AG$77)</f>
        <v>0.0448147619047619</v>
      </c>
      <c r="AI64" s="853" t="n">
        <v>0</v>
      </c>
      <c r="AJ64" s="107" t="n">
        <f aca="false">IF(AI$77=0,0,AI64/AI$77)</f>
        <v>0</v>
      </c>
      <c r="AK64" s="853" t="n">
        <v>0</v>
      </c>
      <c r="AL64" s="107" t="n">
        <f aca="false">IF(AK$77=0,0,AK64/AK$77)</f>
        <v>0</v>
      </c>
      <c r="AM64" s="853" t="n">
        <v>0</v>
      </c>
      <c r="AN64" s="107" t="n">
        <f aca="false">IF(AM$77=0,0,AM64/AM$77)</f>
        <v>0</v>
      </c>
      <c r="AO64" s="853" t="n">
        <v>0</v>
      </c>
      <c r="AP64" s="107" t="n">
        <f aca="false">IF(AO$77=0,0,AO64/AO$77)</f>
        <v>0</v>
      </c>
      <c r="AQ64" s="853" t="n">
        <v>0</v>
      </c>
      <c r="AR64" s="89" t="n">
        <f aca="false">IF(AQ$77=0,0,AQ64/AQ$77)</f>
        <v>0</v>
      </c>
    </row>
    <row r="65" customFormat="false" ht="12.75" hidden="false" customHeight="false" outlineLevel="0" collapsed="false">
      <c r="A65" s="258" t="n">
        <f aca="false">A63+1</f>
        <v>2015</v>
      </c>
      <c r="B65" s="848" t="n">
        <f aca="false">B64+1</f>
        <v>28</v>
      </c>
      <c r="C65" s="849" t="n">
        <f aca="false">F64</f>
        <v>4753.44633555736</v>
      </c>
      <c r="D65" s="61" t="n">
        <f aca="false">C65*F$32*0.5</f>
        <v>261.736638851627</v>
      </c>
      <c r="E65" s="61" t="n">
        <f aca="false">IF(F$34=0,0,IF($B65&gt;=F$31,C65,IF(F$33&gt;=$B65,0,IF(C65&gt;1,CHOOSE(F$34,F$29/(F$31-F$33),-PMT(F$32/2,F$31-$B64,C65,0)-D65,F$29*$AH65)))))*Assm!$X$90</f>
        <v>3573.85341341832</v>
      </c>
      <c r="F65" s="824" t="n">
        <f aca="false">C65-E65</f>
        <v>1179.59292213904</v>
      </c>
      <c r="G65" s="849" t="n">
        <f aca="false">J64</f>
        <v>0</v>
      </c>
      <c r="H65" s="61" t="n">
        <f aca="false">G65*J$32*0.5</f>
        <v>0</v>
      </c>
      <c r="I65" s="61" t="n">
        <f aca="false">IF(J$34=0,0,IF($B65&gt;=J$31,G65,IF(J$33&gt;=$B65,0,IF(G65&gt;1,CHOOSE(J$34,J$29/(J$31-J$33),-PMT(J$32/2,J$31-$B64,G65,0)-H65,J$29*$AJ65)))))</f>
        <v>0</v>
      </c>
      <c r="J65" s="824" t="n">
        <f aca="false">G65-I65</f>
        <v>0</v>
      </c>
      <c r="K65" s="849" t="n">
        <f aca="false">N64</f>
        <v>0</v>
      </c>
      <c r="L65" s="61" t="n">
        <f aca="false">K65*N$32*0.5</f>
        <v>0</v>
      </c>
      <c r="M65" s="61" t="n">
        <f aca="false">IF(N$34=0,0,IF($B65&gt;=N$31,K65,IF(N$33&gt;=$B65,0,IF(K65&gt;1,CHOOSE(N$34,N$29/(N$31-N$33),-PMT(N$32/2,N$31-$B64,K65,0)-L65,N$29*$AL65)))))</f>
        <v>0</v>
      </c>
      <c r="N65" s="824" t="n">
        <f aca="false">K65-M65</f>
        <v>0</v>
      </c>
      <c r="O65" s="849" t="n">
        <f aca="false">R64</f>
        <v>0</v>
      </c>
      <c r="P65" s="61" t="n">
        <f aca="false">O65*R$32*0.5</f>
        <v>0</v>
      </c>
      <c r="Q65" s="61" t="n">
        <f aca="false">IF(R$34=0,0,IF($B65&gt;=R$31,O65,IF(R$33&gt;=$B65,0,IF(O65&gt;1,CHOOSE(R$34,R$29/(R$31-R$33),-PMT(R$32/2,R$31-$B64,O65,0)-P65,R$29*$AN65)))))</f>
        <v>0</v>
      </c>
      <c r="R65" s="824" t="n">
        <f aca="false">O65-Q65</f>
        <v>0</v>
      </c>
      <c r="S65" s="849" t="n">
        <f aca="false">V64</f>
        <v>0</v>
      </c>
      <c r="T65" s="61" t="n">
        <f aca="false">S65*V$32*0.5</f>
        <v>0</v>
      </c>
      <c r="U65" s="61" t="n">
        <f aca="false">IF(V$34=0,0,IF($B65&gt;=V$31,S65,IF(V$33&gt;=$B65,0,IF(S65&gt;1,CHOOSE(V$34,V$29/(V$31-V$33),-PMT(V$32/2,V$31-$B64,S65,0)-T65,V$29*$AP65)))))</f>
        <v>0</v>
      </c>
      <c r="V65" s="824" t="n">
        <f aca="false">S65-U65</f>
        <v>0</v>
      </c>
      <c r="W65" s="849" t="n">
        <f aca="false">Z64</f>
        <v>0</v>
      </c>
      <c r="X65" s="61" t="n">
        <f aca="false">W65*Z$32*0.5</f>
        <v>0</v>
      </c>
      <c r="Y65" s="61" t="n">
        <f aca="false">IF(Z$34=0,0,IF($B65&gt;=Z$31,W65,IF(Z$33&gt;=$B65,0,IF(W65&gt;1,CHOOSE(Z$34,Z$29/(Z$31-Z$33),-PMT(Z$32/2,Z$31-$B64,W65,0)-X65,Z$29*$AR65)))))</f>
        <v>0</v>
      </c>
      <c r="Z65" s="824" t="n">
        <f aca="false">W65-Y65</f>
        <v>0</v>
      </c>
      <c r="AA65" s="61"/>
      <c r="AB65" s="65"/>
      <c r="AC65" s="61"/>
      <c r="AD65" s="65"/>
      <c r="AE65" s="861"/>
      <c r="AG65" s="851" t="n">
        <v>9412.95238095248</v>
      </c>
      <c r="AH65" s="852" t="n">
        <f aca="false">IF(AG$77=0,0,AG65/AG$77)</f>
        <v>0.0470647619047624</v>
      </c>
      <c r="AI65" s="853" t="n">
        <v>0</v>
      </c>
      <c r="AJ65" s="107" t="n">
        <f aca="false">IF(AI$77=0,0,AI65/AI$77)</f>
        <v>0</v>
      </c>
      <c r="AK65" s="853" t="n">
        <v>0</v>
      </c>
      <c r="AL65" s="107" t="n">
        <f aca="false">IF(AK$77=0,0,AK65/AK$77)</f>
        <v>0</v>
      </c>
      <c r="AM65" s="853" t="n">
        <v>0</v>
      </c>
      <c r="AN65" s="107" t="n">
        <f aca="false">IF(AM$77=0,0,AM65/AM$77)</f>
        <v>0</v>
      </c>
      <c r="AO65" s="853" t="n">
        <v>0</v>
      </c>
      <c r="AP65" s="107" t="n">
        <f aca="false">IF(AO$77=0,0,AO65/AO$77)</f>
        <v>0</v>
      </c>
      <c r="AQ65" s="853" t="n">
        <v>0</v>
      </c>
      <c r="AR65" s="89" t="n">
        <f aca="false">IF(AQ$77=0,0,AQ65/AQ$77)</f>
        <v>0</v>
      </c>
    </row>
    <row r="66" customFormat="false" ht="12.75" hidden="false" customHeight="false" outlineLevel="0" collapsed="false">
      <c r="A66" s="854" t="n">
        <f aca="false">A65</f>
        <v>2015</v>
      </c>
      <c r="B66" s="855" t="n">
        <f aca="false">B65+1</f>
        <v>29</v>
      </c>
      <c r="C66" s="856" t="n">
        <f aca="false">F65</f>
        <v>1179.59292213904</v>
      </c>
      <c r="D66" s="532" t="n">
        <f aca="false">C66*F$32*0.5</f>
        <v>64.951335275281</v>
      </c>
      <c r="E66" s="532" t="n">
        <f aca="false">IF(F$34=0,0,IF($B66&gt;=F$31,C66,IF(F$33&gt;=$B66,0,IF(C66&gt;1,CHOOSE(F$34,F$29/(F$31-F$33),-PMT(F$32/2,F$31-$B65,C66,0)-D66,F$29*$AH66)))))*Assm!$X$90</f>
        <v>1179.59292213904</v>
      </c>
      <c r="F66" s="859" t="n">
        <f aca="false">C66-E66</f>
        <v>0</v>
      </c>
      <c r="G66" s="856" t="n">
        <f aca="false">J65</f>
        <v>0</v>
      </c>
      <c r="H66" s="532" t="n">
        <f aca="false">G66*J$32*0.5</f>
        <v>0</v>
      </c>
      <c r="I66" s="532" t="n">
        <f aca="false">IF(J$34=0,0,IF($B66&gt;=J$31,G66,IF(J$33&gt;=$B66,0,IF(G66&gt;1,CHOOSE(J$34,J$29/(J$31-J$33),-PMT(J$32/2,J$31-$B65,G66,0)-H66,J$29*$AJ66)))))</f>
        <v>0</v>
      </c>
      <c r="J66" s="859" t="n">
        <f aca="false">G66-I66</f>
        <v>0</v>
      </c>
      <c r="K66" s="856" t="n">
        <f aca="false">N65</f>
        <v>0</v>
      </c>
      <c r="L66" s="532" t="n">
        <f aca="false">K66*N$32*0.5</f>
        <v>0</v>
      </c>
      <c r="M66" s="532" t="n">
        <f aca="false">IF(N$34=0,0,IF($B66&gt;=N$31,K66,IF(N$33&gt;=$B66,0,IF(K66&gt;1,CHOOSE(N$34,N$29/(N$31-N$33),-PMT(N$32/2,N$31-$B65,K66,0)-L66,N$29*$AL66)))))</f>
        <v>0</v>
      </c>
      <c r="N66" s="859" t="n">
        <f aca="false">K66-M66</f>
        <v>0</v>
      </c>
      <c r="O66" s="856" t="n">
        <f aca="false">R65</f>
        <v>0</v>
      </c>
      <c r="P66" s="532" t="n">
        <f aca="false">O66*R$32*0.5</f>
        <v>0</v>
      </c>
      <c r="Q66" s="532" t="n">
        <f aca="false">IF(R$34=0,0,IF($B66&gt;=R$31,O66,IF(R$33&gt;=$B66,0,IF(O66&gt;1,CHOOSE(R$34,R$29/(R$31-R$33),-PMT(R$32/2,R$31-$B65,O66,0)-P66,R$29*$AN66)))))</f>
        <v>0</v>
      </c>
      <c r="R66" s="859" t="n">
        <f aca="false">O66-Q66</f>
        <v>0</v>
      </c>
      <c r="S66" s="856" t="n">
        <f aca="false">V65</f>
        <v>0</v>
      </c>
      <c r="T66" s="532" t="n">
        <f aca="false">S66*V$32*0.5</f>
        <v>0</v>
      </c>
      <c r="U66" s="532" t="n">
        <f aca="false">IF(V$34=0,0,IF($B66&gt;=V$31,S66,IF(V$33&gt;=$B66,0,IF(S66&gt;1,CHOOSE(V$34,V$29/(V$31-V$33),-PMT(V$32/2,V$31-$B65,S66,0)-T66,V$29*$AP66)))))</f>
        <v>0</v>
      </c>
      <c r="V66" s="859" t="n">
        <f aca="false">S66-U66</f>
        <v>0</v>
      </c>
      <c r="W66" s="856" t="n">
        <f aca="false">Z65</f>
        <v>0</v>
      </c>
      <c r="X66" s="532" t="n">
        <f aca="false">W66*Z$32*0.5</f>
        <v>0</v>
      </c>
      <c r="Y66" s="532" t="n">
        <f aca="false">IF(Z$34=0,0,IF($B66&gt;=Z$31,W66,IF(Z$33&gt;=$B66,0,IF(W66&gt;1,CHOOSE(Z$34,Z$29/(Z$31-Z$33),-PMT(Z$32/2,Z$31-$B65,W66,0)-X66,Z$29*$AR66)))))</f>
        <v>0</v>
      </c>
      <c r="Z66" s="859" t="n">
        <f aca="false">W66-Y66</f>
        <v>0</v>
      </c>
      <c r="AA66" s="532" t="n">
        <f aca="false">SUM(D65:D66,H65:H66,L65:L66,P65:P66,T65:T66)</f>
        <v>326.687974126908</v>
      </c>
      <c r="AB66" s="860" t="n">
        <f aca="false">SUM(E65:E66,I65:I66,M65:M66,Q65:Q66,U65:U66)</f>
        <v>4753.44633555736</v>
      </c>
      <c r="AC66" s="532" t="n">
        <f aca="false">SUM(X65:X66)</f>
        <v>0</v>
      </c>
      <c r="AD66" s="860" t="n">
        <f aca="false">SUM(Y65:Y66)</f>
        <v>0</v>
      </c>
      <c r="AE66" s="861" t="n">
        <f aca="false">(C65+G65+W65)*IF([1]RAROC!$B$103=1,VLOOKUP(A66,[2]!Guar_Fee_Table,2),IF([1]RAROC!$B$103=2,VLOOKUP(A66,[2]!Guar_Fee_Table,3),IF([1]RAROC!$B$103=3,VLOOKUP(A66,[2]!Guar_Fee_Table,4,0))))</f>
        <v>0</v>
      </c>
      <c r="AG66" s="851" t="n">
        <v>0</v>
      </c>
      <c r="AH66" s="852" t="n">
        <f aca="false">IF(AG$77=0,0,AG66/AG$77)</f>
        <v>0</v>
      </c>
      <c r="AI66" s="853" t="n">
        <v>0</v>
      </c>
      <c r="AJ66" s="107" t="n">
        <f aca="false">IF(AI$77=0,0,AI66/AI$77)</f>
        <v>0</v>
      </c>
      <c r="AK66" s="853" t="n">
        <v>0</v>
      </c>
      <c r="AL66" s="107" t="n">
        <f aca="false">IF(AK$77=0,0,AK66/AK$77)</f>
        <v>0</v>
      </c>
      <c r="AM66" s="853" t="n">
        <v>0</v>
      </c>
      <c r="AN66" s="107" t="n">
        <f aca="false">IF(AM$77=0,0,AM66/AM$77)</f>
        <v>0</v>
      </c>
      <c r="AO66" s="853" t="n">
        <v>0</v>
      </c>
      <c r="AP66" s="107" t="n">
        <f aca="false">IF(AO$77=0,0,AO66/AO$77)</f>
        <v>0</v>
      </c>
      <c r="AQ66" s="853" t="n">
        <v>0</v>
      </c>
      <c r="AR66" s="89" t="n">
        <f aca="false">IF(AQ$77=0,0,AQ66/AQ$77)</f>
        <v>0</v>
      </c>
    </row>
    <row r="67" customFormat="false" ht="12.75" hidden="false" customHeight="false" outlineLevel="0" collapsed="false">
      <c r="A67" s="258" t="n">
        <f aca="false">A65+1</f>
        <v>2016</v>
      </c>
      <c r="B67" s="848" t="n">
        <f aca="false">B66+1</f>
        <v>30</v>
      </c>
      <c r="C67" s="849" t="n">
        <f aca="false">F66</f>
        <v>0</v>
      </c>
      <c r="D67" s="61" t="n">
        <f aca="false">C67*F$32*0.5</f>
        <v>0</v>
      </c>
      <c r="E67" s="61" t="n">
        <f aca="false">IF(F$34=0,0,IF($B67&gt;=F$31,C67,IF(F$33&gt;=$B67,0,IF(C67&gt;1,CHOOSE(F$34,F$29/(F$31-F$33),-PMT(F$32/2,F$31-$B66,C67,0)-D67,F$29*$AH67)))))*Assm!$X$90</f>
        <v>0</v>
      </c>
      <c r="F67" s="824" t="n">
        <f aca="false">C67-E67</f>
        <v>0</v>
      </c>
      <c r="G67" s="849" t="n">
        <f aca="false">J66</f>
        <v>0</v>
      </c>
      <c r="H67" s="61" t="n">
        <f aca="false">G67*J$32*0.5</f>
        <v>0</v>
      </c>
      <c r="I67" s="61" t="n">
        <f aca="false">IF(J$34=0,0,IF($B67&gt;=J$31,G67,IF(J$33&gt;=$B67,0,IF(G67&gt;1,CHOOSE(J$34,J$29/(J$31-J$33),-PMT(J$32/2,J$31-$B66,G67,0)-H67,J$29*$AJ67)))))</f>
        <v>0</v>
      </c>
      <c r="J67" s="824" t="n">
        <f aca="false">G67-I67</f>
        <v>0</v>
      </c>
      <c r="K67" s="849" t="n">
        <f aca="false">N66</f>
        <v>0</v>
      </c>
      <c r="L67" s="61" t="n">
        <f aca="false">K67*N$32*0.5</f>
        <v>0</v>
      </c>
      <c r="M67" s="61" t="n">
        <f aca="false">IF(N$34=0,0,IF($B67&gt;=N$31,K67,IF(N$33&gt;=$B67,0,IF(K67&gt;1,CHOOSE(N$34,N$29/(N$31-N$33),-PMT(N$32/2,N$31-$B66,K67,0)-L67,N$29*$AL67)))))</f>
        <v>0</v>
      </c>
      <c r="N67" s="824" t="n">
        <f aca="false">K67-M67</f>
        <v>0</v>
      </c>
      <c r="O67" s="849" t="n">
        <f aca="false">R66</f>
        <v>0</v>
      </c>
      <c r="P67" s="61" t="n">
        <f aca="false">O67*R$32*0.5</f>
        <v>0</v>
      </c>
      <c r="Q67" s="61" t="n">
        <f aca="false">IF(R$34=0,0,IF($B67&gt;=R$31,O67,IF(R$33&gt;=$B67,0,IF(O67&gt;1,CHOOSE(R$34,R$29/(R$31-R$33),-PMT(R$32/2,R$31-$B66,O67,0)-P67,R$29*$AN67)))))</f>
        <v>0</v>
      </c>
      <c r="R67" s="824" t="n">
        <f aca="false">O67-Q67</f>
        <v>0</v>
      </c>
      <c r="S67" s="849" t="n">
        <f aca="false">V66</f>
        <v>0</v>
      </c>
      <c r="T67" s="61" t="n">
        <f aca="false">S67*V$32*0.5</f>
        <v>0</v>
      </c>
      <c r="U67" s="61" t="n">
        <f aca="false">IF(V$34=0,0,IF($B67&gt;=V$31,S67,IF(V$33&gt;=$B67,0,IF(S67&gt;1,CHOOSE(V$34,V$29/(V$31-V$33),-PMT(V$32/2,V$31-$B66,S67,0)-T67,V$29*$AP67)))))</f>
        <v>0</v>
      </c>
      <c r="V67" s="824" t="n">
        <f aca="false">S67-U67</f>
        <v>0</v>
      </c>
      <c r="W67" s="849" t="n">
        <f aca="false">Z66</f>
        <v>0</v>
      </c>
      <c r="X67" s="61" t="n">
        <f aca="false">W67*Z$32*0.5</f>
        <v>0</v>
      </c>
      <c r="Y67" s="61" t="n">
        <f aca="false">IF(Z$34=0,0,IF($B67&gt;=Z$31,W67,IF(Z$33&gt;=$B67,0,IF(W67&gt;1,CHOOSE(Z$34,Z$29/(Z$31-Z$33),-PMT(Z$32/2,Z$31-$B66,W67,0)-X67,Z$29*$AR67)))))</f>
        <v>0</v>
      </c>
      <c r="Z67" s="824" t="n">
        <f aca="false">W67-Y67</f>
        <v>0</v>
      </c>
      <c r="AA67" s="61"/>
      <c r="AB67" s="65"/>
      <c r="AC67" s="61"/>
      <c r="AD67" s="65"/>
      <c r="AE67" s="861"/>
      <c r="AG67" s="851" t="n">
        <v>0</v>
      </c>
      <c r="AH67" s="852" t="n">
        <f aca="false">IF(AG$77=0,0,AG67/AG$77)</f>
        <v>0</v>
      </c>
      <c r="AI67" s="853" t="n">
        <v>0</v>
      </c>
      <c r="AJ67" s="107" t="n">
        <f aca="false">IF(AI$77=0,0,AI67/AI$77)</f>
        <v>0</v>
      </c>
      <c r="AK67" s="853" t="n">
        <v>0</v>
      </c>
      <c r="AL67" s="107" t="n">
        <f aca="false">IF(AK$77=0,0,AK67/AK$77)</f>
        <v>0</v>
      </c>
      <c r="AM67" s="853" t="n">
        <v>0</v>
      </c>
      <c r="AN67" s="107" t="n">
        <f aca="false">IF(AM$77=0,0,AM67/AM$77)</f>
        <v>0</v>
      </c>
      <c r="AO67" s="853" t="n">
        <v>0</v>
      </c>
      <c r="AP67" s="107" t="n">
        <f aca="false">IF(AO$77=0,0,AO67/AO$77)</f>
        <v>0</v>
      </c>
      <c r="AQ67" s="853" t="n">
        <v>0</v>
      </c>
      <c r="AR67" s="89" t="n">
        <f aca="false">IF(AQ$77=0,0,AQ67/AQ$77)</f>
        <v>0</v>
      </c>
    </row>
    <row r="68" customFormat="false" ht="12.75" hidden="false" customHeight="false" outlineLevel="0" collapsed="false">
      <c r="A68" s="854" t="n">
        <f aca="false">A67</f>
        <v>2016</v>
      </c>
      <c r="B68" s="855" t="n">
        <f aca="false">B67+1</f>
        <v>31</v>
      </c>
      <c r="C68" s="856" t="n">
        <f aca="false">F67</f>
        <v>0</v>
      </c>
      <c r="D68" s="532" t="n">
        <f aca="false">C68*F$32*0.5</f>
        <v>0</v>
      </c>
      <c r="E68" s="532" t="n">
        <f aca="false">IF(F$34=0,0,IF($B68&gt;=F$31,C68,IF(F$33&gt;=$B68,0,IF(C68&gt;1,CHOOSE(F$34,F$29/(F$31-F$33),-PMT(F$32/2,F$31-$B67,C68,0)-D68,F$29*$AH68)))))*Assm!$X$90</f>
        <v>0</v>
      </c>
      <c r="F68" s="859" t="n">
        <f aca="false">C68-E68</f>
        <v>0</v>
      </c>
      <c r="G68" s="856" t="n">
        <f aca="false">J67</f>
        <v>0</v>
      </c>
      <c r="H68" s="532" t="n">
        <f aca="false">G68*J$32*0.5</f>
        <v>0</v>
      </c>
      <c r="I68" s="532" t="n">
        <f aca="false">IF(J$34=0,0,IF($B68&gt;=J$31,G68,IF(J$33&gt;=$B68,0,IF(G68&gt;1,CHOOSE(J$34,J$29/(J$31-J$33),-PMT(J$32/2,J$31-$B67,G68,0)-H68,J$29*$AJ68)))))</f>
        <v>0</v>
      </c>
      <c r="J68" s="859" t="n">
        <f aca="false">G68-I68</f>
        <v>0</v>
      </c>
      <c r="K68" s="856" t="n">
        <f aca="false">N67</f>
        <v>0</v>
      </c>
      <c r="L68" s="532" t="n">
        <f aca="false">K68*N$32*0.5</f>
        <v>0</v>
      </c>
      <c r="M68" s="532" t="n">
        <f aca="false">IF(N$34=0,0,IF($B68&gt;=N$31,K68,IF(N$33&gt;=$B68,0,IF(K68&gt;1,CHOOSE(N$34,N$29/(N$31-N$33),-PMT(N$32/2,N$31-$B67,K68,0)-L68,N$29*$AL68)))))</f>
        <v>0</v>
      </c>
      <c r="N68" s="859" t="n">
        <f aca="false">K68-M68</f>
        <v>0</v>
      </c>
      <c r="O68" s="856" t="n">
        <f aca="false">R67</f>
        <v>0</v>
      </c>
      <c r="P68" s="532" t="n">
        <f aca="false">O68*R$32*0.5</f>
        <v>0</v>
      </c>
      <c r="Q68" s="532" t="n">
        <f aca="false">IF(R$34=0,0,IF($B68&gt;=R$31,O68,IF(R$33&gt;=$B68,0,IF(O68&gt;1,CHOOSE(R$34,R$29/(R$31-R$33),-PMT(R$32/2,R$31-$B67,O68,0)-P68,R$29*$AN68)))))</f>
        <v>0</v>
      </c>
      <c r="R68" s="859" t="n">
        <f aca="false">O68-Q68</f>
        <v>0</v>
      </c>
      <c r="S68" s="856" t="n">
        <f aca="false">V67</f>
        <v>0</v>
      </c>
      <c r="T68" s="532" t="n">
        <f aca="false">S68*V$32*0.5</f>
        <v>0</v>
      </c>
      <c r="U68" s="532" t="n">
        <f aca="false">IF(V$34=0,0,IF($B68&gt;=V$31,S68,IF(V$33&gt;=$B68,0,IF(S68&gt;1,CHOOSE(V$34,V$29/(V$31-V$33),-PMT(V$32/2,V$31-$B67,S68,0)-T68,V$29*$AP68)))))</f>
        <v>0</v>
      </c>
      <c r="V68" s="859" t="n">
        <f aca="false">S68-U68</f>
        <v>0</v>
      </c>
      <c r="W68" s="856" t="n">
        <f aca="false">Z67</f>
        <v>0</v>
      </c>
      <c r="X68" s="532" t="n">
        <f aca="false">W68*Z$32*0.5</f>
        <v>0</v>
      </c>
      <c r="Y68" s="532" t="n">
        <f aca="false">IF(Z$34=0,0,IF($B68&gt;=Z$31,W68,IF(Z$33&gt;=$B68,0,IF(W68&gt;1,CHOOSE(Z$34,Z$29/(Z$31-Z$33),-PMT(Z$32/2,Z$31-$B67,W68,0)-X68,Z$29*$AR68)))))</f>
        <v>0</v>
      </c>
      <c r="Z68" s="859" t="n">
        <f aca="false">W68-Y68</f>
        <v>0</v>
      </c>
      <c r="AA68" s="532" t="n">
        <f aca="false">SUM(D67:D68,H67:H68,L67:L68,P67:P68,T67:T68)</f>
        <v>0</v>
      </c>
      <c r="AB68" s="860" t="n">
        <f aca="false">SUM(E67:E68,I67:I68,M67:M68,Q67:Q68,U67:U68)</f>
        <v>0</v>
      </c>
      <c r="AC68" s="532" t="n">
        <f aca="false">SUM(X67:X68)</f>
        <v>0</v>
      </c>
      <c r="AD68" s="860" t="n">
        <f aca="false">SUM(Y67:Y68)</f>
        <v>0</v>
      </c>
      <c r="AE68" s="861" t="n">
        <f aca="false">(C67+G67+W67)*IF([1]RAROC!$B$103=1,VLOOKUP(A68,[2]!Guar_Fee_Table,2),IF([1]RAROC!$B$103=2,VLOOKUP(A68,[2]!Guar_Fee_Table,3),IF([1]RAROC!$B$103=3,VLOOKUP(A68,[2]!Guar_Fee_Table,4,0))))</f>
        <v>0</v>
      </c>
      <c r="AG68" s="851" t="n">
        <v>0</v>
      </c>
      <c r="AH68" s="852" t="n">
        <f aca="false">IF(AG$77=0,0,AG68/AG$77)</f>
        <v>0</v>
      </c>
      <c r="AI68" s="853" t="n">
        <v>0</v>
      </c>
      <c r="AJ68" s="107" t="n">
        <f aca="false">IF(AI$77=0,0,AI68/AI$77)</f>
        <v>0</v>
      </c>
      <c r="AK68" s="853" t="n">
        <v>0</v>
      </c>
      <c r="AL68" s="107" t="n">
        <f aca="false">IF(AK$77=0,0,AK68/AK$77)</f>
        <v>0</v>
      </c>
      <c r="AM68" s="853" t="n">
        <v>0</v>
      </c>
      <c r="AN68" s="107" t="n">
        <f aca="false">IF(AM$77=0,0,AM68/AM$77)</f>
        <v>0</v>
      </c>
      <c r="AO68" s="853" t="n">
        <v>0</v>
      </c>
      <c r="AP68" s="107" t="n">
        <f aca="false">IF(AO$77=0,0,AO68/AO$77)</f>
        <v>0</v>
      </c>
      <c r="AQ68" s="853" t="n">
        <v>0</v>
      </c>
      <c r="AR68" s="89" t="n">
        <f aca="false">IF(AQ$77=0,0,AQ68/AQ$77)</f>
        <v>0</v>
      </c>
    </row>
    <row r="69" customFormat="false" ht="12.75" hidden="false" customHeight="false" outlineLevel="0" collapsed="false">
      <c r="A69" s="258" t="n">
        <f aca="false">A67+1</f>
        <v>2017</v>
      </c>
      <c r="B69" s="848" t="n">
        <f aca="false">B68+1</f>
        <v>32</v>
      </c>
      <c r="C69" s="849" t="n">
        <f aca="false">F68</f>
        <v>0</v>
      </c>
      <c r="D69" s="61" t="n">
        <f aca="false">C69*F$32*0.5</f>
        <v>0</v>
      </c>
      <c r="E69" s="61" t="n">
        <f aca="false">IF(F$34=0,0,IF($B69&gt;=F$31,C69,IF(F$33&gt;=$B69,0,IF(C69&gt;1,CHOOSE(F$34,F$29/(F$31-F$33),-PMT(F$32/2,F$31-$B68,C69,0)-D69,F$29*$AH69)))))*Assm!$X$90</f>
        <v>0</v>
      </c>
      <c r="F69" s="824" t="n">
        <f aca="false">C69-E69</f>
        <v>0</v>
      </c>
      <c r="G69" s="849" t="n">
        <f aca="false">J68</f>
        <v>0</v>
      </c>
      <c r="H69" s="61" t="n">
        <f aca="false">G69*J$32*0.5</f>
        <v>0</v>
      </c>
      <c r="I69" s="61" t="n">
        <f aca="false">IF(J$34=0,0,IF($B69&gt;=J$31,G69,IF(J$33&gt;=$B69,0,IF(G69&gt;1,CHOOSE(J$34,J$29/(J$31-J$33),-PMT(J$32/2,J$31-$B68,G69,0)-H69,J$29*$AJ69)))))</f>
        <v>0</v>
      </c>
      <c r="J69" s="824" t="n">
        <f aca="false">G69-I69</f>
        <v>0</v>
      </c>
      <c r="K69" s="849" t="n">
        <f aca="false">N68</f>
        <v>0</v>
      </c>
      <c r="L69" s="61" t="n">
        <f aca="false">K69*N$32*0.5</f>
        <v>0</v>
      </c>
      <c r="M69" s="61" t="n">
        <f aca="false">IF(N$34=0,0,IF($B69&gt;=N$31,K69,IF(N$33&gt;=$B69,0,IF(K69&gt;1,CHOOSE(N$34,N$29/(N$31-N$33),-PMT(N$32/2,N$31-$B68,K69,0)-L69,N$29*$AL69)))))</f>
        <v>0</v>
      </c>
      <c r="N69" s="824" t="n">
        <f aca="false">K69-M69</f>
        <v>0</v>
      </c>
      <c r="O69" s="849" t="n">
        <f aca="false">R68</f>
        <v>0</v>
      </c>
      <c r="P69" s="61" t="n">
        <f aca="false">O69*R$32*0.5</f>
        <v>0</v>
      </c>
      <c r="Q69" s="61" t="n">
        <f aca="false">IF(R$34=0,0,IF($B69&gt;=R$31,O69,IF(R$33&gt;=$B69,0,IF(O69&gt;1,CHOOSE(R$34,R$29/(R$31-R$33),-PMT(R$32/2,R$31-$B68,O69,0)-P69,R$29*$AN69)))))</f>
        <v>0</v>
      </c>
      <c r="R69" s="824" t="n">
        <f aca="false">O69-Q69</f>
        <v>0</v>
      </c>
      <c r="S69" s="849" t="n">
        <f aca="false">V68</f>
        <v>0</v>
      </c>
      <c r="T69" s="61" t="n">
        <f aca="false">S69*V$32*0.5</f>
        <v>0</v>
      </c>
      <c r="U69" s="61" t="n">
        <f aca="false">IF(V$34=0,0,IF($B69&gt;=V$31,S69,IF(V$33&gt;=$B69,0,IF(S69&gt;1,CHOOSE(V$34,V$29/(V$31-V$33),-PMT(V$32/2,V$31-$B68,S69,0)-T69,V$29*$AP69)))))</f>
        <v>0</v>
      </c>
      <c r="V69" s="824" t="n">
        <f aca="false">S69-U69</f>
        <v>0</v>
      </c>
      <c r="W69" s="849" t="n">
        <f aca="false">Z68</f>
        <v>0</v>
      </c>
      <c r="X69" s="61" t="n">
        <f aca="false">W69*Z$32*0.5</f>
        <v>0</v>
      </c>
      <c r="Y69" s="61" t="n">
        <f aca="false">IF(Z$34=0,0,IF($B69&gt;=Z$31,W69,IF(Z$33&gt;=$B69,0,IF(W69&gt;1,CHOOSE(Z$34,Z$29/(Z$31-Z$33),-PMT(Z$32/2,Z$31-$B68,W69,0)-X69,Z$29*$AR69)))))</f>
        <v>0</v>
      </c>
      <c r="Z69" s="824" t="n">
        <f aca="false">W69-Y69</f>
        <v>0</v>
      </c>
      <c r="AA69" s="61"/>
      <c r="AB69" s="65"/>
      <c r="AC69" s="61"/>
      <c r="AD69" s="65"/>
      <c r="AE69" s="826"/>
      <c r="AG69" s="851" t="n">
        <v>0</v>
      </c>
      <c r="AH69" s="852" t="n">
        <f aca="false">IF(AG$77=0,0,AG69/AG$77)</f>
        <v>0</v>
      </c>
      <c r="AI69" s="853" t="n">
        <v>0</v>
      </c>
      <c r="AJ69" s="107" t="n">
        <f aca="false">IF(AI$77=0,0,AI69/AI$77)</f>
        <v>0</v>
      </c>
      <c r="AK69" s="853" t="n">
        <v>0</v>
      </c>
      <c r="AL69" s="107" t="n">
        <f aca="false">IF(AK$77=0,0,AK69/AK$77)</f>
        <v>0</v>
      </c>
      <c r="AM69" s="853" t="n">
        <v>0</v>
      </c>
      <c r="AN69" s="107" t="n">
        <f aca="false">IF(AM$77=0,0,AM69/AM$77)</f>
        <v>0</v>
      </c>
      <c r="AO69" s="853" t="n">
        <v>0</v>
      </c>
      <c r="AP69" s="107" t="n">
        <f aca="false">IF(AO$77=0,0,AO69/AO$77)</f>
        <v>0</v>
      </c>
      <c r="AQ69" s="853" t="n">
        <v>0</v>
      </c>
      <c r="AR69" s="89" t="n">
        <f aca="false">IF(AQ$77=0,0,AQ69/AQ$77)</f>
        <v>0</v>
      </c>
    </row>
    <row r="70" customFormat="false" ht="12.75" hidden="false" customHeight="false" outlineLevel="0" collapsed="false">
      <c r="A70" s="854" t="n">
        <f aca="false">A69</f>
        <v>2017</v>
      </c>
      <c r="B70" s="855" t="n">
        <f aca="false">B69+1</f>
        <v>33</v>
      </c>
      <c r="C70" s="856" t="n">
        <f aca="false">F69</f>
        <v>0</v>
      </c>
      <c r="D70" s="532" t="n">
        <f aca="false">C70*F$32*0.5</f>
        <v>0</v>
      </c>
      <c r="E70" s="532" t="n">
        <f aca="false">IF(F$34=0,0,IF($B70&gt;=F$31,C70,IF(F$33&gt;=$B70,0,IF(C70&gt;1,CHOOSE(F$34,F$29/(F$31-F$33),-PMT(F$32/2,F$31-$B69,C70,0)-D70,F$29*$AH70)))))*Assm!$X$90</f>
        <v>0</v>
      </c>
      <c r="F70" s="859" t="n">
        <f aca="false">C70-E70</f>
        <v>0</v>
      </c>
      <c r="G70" s="856" t="n">
        <f aca="false">J69</f>
        <v>0</v>
      </c>
      <c r="H70" s="532" t="n">
        <f aca="false">G70*J$32*0.5</f>
        <v>0</v>
      </c>
      <c r="I70" s="532" t="n">
        <f aca="false">IF(J$34=0,0,IF($B70&gt;=J$31,G70,IF(J$33&gt;=$B70,0,IF(G70&gt;1,CHOOSE(J$34,J$29/(J$31-J$33),-PMT(J$32/2,J$31-$B69,G70,0)-H70,J$29*$AJ70)))))</f>
        <v>0</v>
      </c>
      <c r="J70" s="859" t="n">
        <f aca="false">G70-I70</f>
        <v>0</v>
      </c>
      <c r="K70" s="856" t="n">
        <f aca="false">N69</f>
        <v>0</v>
      </c>
      <c r="L70" s="532" t="n">
        <f aca="false">K70*N$32*0.5</f>
        <v>0</v>
      </c>
      <c r="M70" s="532" t="n">
        <f aca="false">IF(N$34=0,0,IF($B70&gt;=N$31,K70,IF(N$33&gt;=$B70,0,IF(K70&gt;1,CHOOSE(N$34,N$29/(N$31-N$33),-PMT(N$32/2,N$31-$B69,K70,0)-L70,N$29*$AL70)))))</f>
        <v>0</v>
      </c>
      <c r="N70" s="859" t="n">
        <f aca="false">K70-M70</f>
        <v>0</v>
      </c>
      <c r="O70" s="856" t="n">
        <f aca="false">R69</f>
        <v>0</v>
      </c>
      <c r="P70" s="532" t="n">
        <f aca="false">O70*R$32*0.5</f>
        <v>0</v>
      </c>
      <c r="Q70" s="532" t="n">
        <f aca="false">IF(R$34=0,0,IF($B70&gt;=R$31,O70,IF(R$33&gt;=$B70,0,IF(O70&gt;1,CHOOSE(R$34,R$29/(R$31-R$33),-PMT(R$32/2,R$31-$B69,O70,0)-P70,R$29*$AN70)))))</f>
        <v>0</v>
      </c>
      <c r="R70" s="859" t="n">
        <f aca="false">O70-Q70</f>
        <v>0</v>
      </c>
      <c r="S70" s="856" t="n">
        <f aca="false">V69</f>
        <v>0</v>
      </c>
      <c r="T70" s="532" t="n">
        <f aca="false">S70*V$32*0.5</f>
        <v>0</v>
      </c>
      <c r="U70" s="532" t="n">
        <f aca="false">IF(V$34=0,0,IF($B70&gt;=V$31,S70,IF(V$33&gt;=$B70,0,IF(S70&gt;1,CHOOSE(V$34,V$29/(V$31-V$33),-PMT(V$32/2,V$31-$B69,S70,0)-T70,V$29*$AP70)))))</f>
        <v>0</v>
      </c>
      <c r="V70" s="859" t="n">
        <f aca="false">S70-U70</f>
        <v>0</v>
      </c>
      <c r="W70" s="856" t="n">
        <f aca="false">Z69</f>
        <v>0</v>
      </c>
      <c r="X70" s="532" t="n">
        <f aca="false">W70*Z$32*0.5</f>
        <v>0</v>
      </c>
      <c r="Y70" s="532" t="n">
        <f aca="false">IF(Z$34=0,0,IF($B70&gt;=Z$31,W70,IF(Z$33&gt;=$B70,0,IF(W70&gt;1,CHOOSE(Z$34,Z$29/(Z$31-Z$33),-PMT(Z$32/2,Z$31-$B69,W70,0)-X70,Z$29*$AR70)))))</f>
        <v>0</v>
      </c>
      <c r="Z70" s="859" t="n">
        <f aca="false">W70-Y70</f>
        <v>0</v>
      </c>
      <c r="AA70" s="532" t="n">
        <f aca="false">SUM(D69:D70,H69:H70,L69:L70,P69:P70,T69:T70)</f>
        <v>0</v>
      </c>
      <c r="AB70" s="860" t="n">
        <f aca="false">SUM(E69:E70,I69:I70,M69:M70,Q69:Q70,U69:U70)</f>
        <v>0</v>
      </c>
      <c r="AC70" s="532" t="n">
        <f aca="false">SUM(X69:X70)</f>
        <v>0</v>
      </c>
      <c r="AD70" s="860" t="n">
        <f aca="false">SUM(Y69:Y70)</f>
        <v>0</v>
      </c>
      <c r="AE70" s="861" t="n">
        <f aca="false">(C69+G69+W69)*IF([1]RAROC!$B$103=1,VLOOKUP(A70,[2]!Guar_Fee_Table,2),IF([1]RAROC!$B$103=2,VLOOKUP(A70,[2]!Guar_Fee_Table,3),IF([1]RAROC!$B$103=3,VLOOKUP(A70,[2]!Guar_Fee_Table,4,0))))</f>
        <v>0</v>
      </c>
      <c r="AG70" s="851" t="n">
        <v>0</v>
      </c>
      <c r="AH70" s="852" t="n">
        <f aca="false">IF(AG$77=0,0,AG70/AG$77)</f>
        <v>0</v>
      </c>
      <c r="AI70" s="853" t="n">
        <v>0</v>
      </c>
      <c r="AJ70" s="107" t="n">
        <f aca="false">IF(AI$77=0,0,AI70/AI$77)</f>
        <v>0</v>
      </c>
      <c r="AK70" s="853" t="n">
        <v>0</v>
      </c>
      <c r="AL70" s="107" t="n">
        <f aca="false">IF(AK$77=0,0,AK70/AK$77)</f>
        <v>0</v>
      </c>
      <c r="AM70" s="853" t="n">
        <v>0</v>
      </c>
      <c r="AN70" s="107" t="n">
        <f aca="false">IF(AM$77=0,0,AM70/AM$77)</f>
        <v>0</v>
      </c>
      <c r="AO70" s="853" t="n">
        <v>0</v>
      </c>
      <c r="AP70" s="107" t="n">
        <f aca="false">IF(AO$77=0,0,AO70/AO$77)</f>
        <v>0</v>
      </c>
      <c r="AQ70" s="853" t="n">
        <v>0</v>
      </c>
      <c r="AR70" s="89" t="n">
        <f aca="false">IF(AQ$77=0,0,AQ70/AQ$77)</f>
        <v>0</v>
      </c>
    </row>
    <row r="71" customFormat="false" ht="12.75" hidden="false" customHeight="false" outlineLevel="0" collapsed="false">
      <c r="A71" s="258" t="n">
        <f aca="false">A69+1</f>
        <v>2018</v>
      </c>
      <c r="B71" s="848" t="n">
        <f aca="false">B70+1</f>
        <v>34</v>
      </c>
      <c r="C71" s="849" t="n">
        <f aca="false">F70</f>
        <v>0</v>
      </c>
      <c r="D71" s="61" t="n">
        <f aca="false">C71*F$32*0.5</f>
        <v>0</v>
      </c>
      <c r="E71" s="61" t="n">
        <f aca="false">IF(F$34=0,0,IF($B71&gt;=F$31,C71,IF(F$33&gt;=$B71,0,IF(C71&gt;1,CHOOSE(F$34,F$29/(F$31-F$33),-PMT(F$32/2,F$31-$B70,C71,0)-D71,F$29*$AH71)))))*Assm!$X$90</f>
        <v>0</v>
      </c>
      <c r="F71" s="824" t="n">
        <f aca="false">C71-E71</f>
        <v>0</v>
      </c>
      <c r="G71" s="849" t="n">
        <f aca="false">J70</f>
        <v>0</v>
      </c>
      <c r="H71" s="61" t="n">
        <f aca="false">G71*J$32*0.5</f>
        <v>0</v>
      </c>
      <c r="I71" s="61" t="n">
        <f aca="false">IF(J$34=0,0,IF($B71&gt;=J$31,G71,IF(J$33&gt;=$B71,0,IF(G71&gt;1,CHOOSE(J$34,J$29/(J$31-J$33),-PMT(J$32/2,J$31-$B70,G71,0)-H71,J$29*$AJ71)))))</f>
        <v>0</v>
      </c>
      <c r="J71" s="824" t="n">
        <f aca="false">G71-I71</f>
        <v>0</v>
      </c>
      <c r="K71" s="849" t="n">
        <f aca="false">N70</f>
        <v>0</v>
      </c>
      <c r="L71" s="61" t="n">
        <f aca="false">K71*N$32*0.5</f>
        <v>0</v>
      </c>
      <c r="M71" s="61" t="n">
        <f aca="false">IF(N$34=0,0,IF($B71&gt;=N$31,K71,IF(N$33&gt;=$B71,0,IF(K71&gt;1,CHOOSE(N$34,N$29/(N$31-N$33),-PMT(N$32/2,N$31-$B70,K71,0)-L71,N$29*$AL71)))))</f>
        <v>0</v>
      </c>
      <c r="N71" s="824" t="n">
        <f aca="false">K71-M71</f>
        <v>0</v>
      </c>
      <c r="O71" s="849" t="n">
        <f aca="false">R70</f>
        <v>0</v>
      </c>
      <c r="P71" s="61" t="n">
        <f aca="false">O71*R$32*0.5</f>
        <v>0</v>
      </c>
      <c r="Q71" s="61" t="n">
        <f aca="false">IF(R$34=0,0,IF($B71&gt;=R$31,O71,IF(R$33&gt;=$B71,0,IF(O71&gt;1,CHOOSE(R$34,R$29/(R$31-R$33),-PMT(R$32/2,R$31-$B70,O71,0)-P71,R$29*$AN71)))))</f>
        <v>0</v>
      </c>
      <c r="R71" s="824" t="n">
        <f aca="false">O71-Q71</f>
        <v>0</v>
      </c>
      <c r="S71" s="849" t="n">
        <f aca="false">V70</f>
        <v>0</v>
      </c>
      <c r="T71" s="61" t="n">
        <f aca="false">S71*V$32*0.5</f>
        <v>0</v>
      </c>
      <c r="U71" s="61" t="n">
        <f aca="false">IF(V$34=0,0,IF($B71&gt;=V$31,S71,IF(V$33&gt;=$B71,0,IF(S71&gt;1,CHOOSE(V$34,V$29/(V$31-V$33),-PMT(V$32/2,V$31-$B70,S71,0)-T71,V$29*$AP71)))))</f>
        <v>0</v>
      </c>
      <c r="V71" s="824" t="n">
        <f aca="false">S71-U71</f>
        <v>0</v>
      </c>
      <c r="W71" s="849" t="n">
        <f aca="false">Z70</f>
        <v>0</v>
      </c>
      <c r="X71" s="61" t="n">
        <f aca="false">W71*Z$32*0.5</f>
        <v>0</v>
      </c>
      <c r="Y71" s="61" t="n">
        <f aca="false">IF(Z$34=0,0,IF($B71&gt;=Z$31,W71,IF(Z$33&gt;=$B71,0,IF(W71&gt;1,CHOOSE(Z$34,Z$29/(Z$31-Z$33),-PMT(Z$32/2,Z$31-$B70,W71,0)-X71,Z$29*$AR71)))))</f>
        <v>0</v>
      </c>
      <c r="Z71" s="824" t="n">
        <f aca="false">W71-Y71</f>
        <v>0</v>
      </c>
      <c r="AA71" s="61"/>
      <c r="AB71" s="65"/>
      <c r="AC71" s="61"/>
      <c r="AD71" s="65"/>
      <c r="AE71" s="826"/>
      <c r="AG71" s="851" t="n">
        <v>0</v>
      </c>
      <c r="AH71" s="852" t="n">
        <f aca="false">IF(AG$77=0,0,AG71/AG$77)</f>
        <v>0</v>
      </c>
      <c r="AI71" s="853" t="n">
        <v>0</v>
      </c>
      <c r="AJ71" s="107" t="n">
        <f aca="false">IF(AI$77=0,0,AI71/AI$77)</f>
        <v>0</v>
      </c>
      <c r="AK71" s="853" t="n">
        <v>0</v>
      </c>
      <c r="AL71" s="107" t="n">
        <f aca="false">IF(AK$77=0,0,AK71/AK$77)</f>
        <v>0</v>
      </c>
      <c r="AM71" s="853" t="n">
        <v>0</v>
      </c>
      <c r="AN71" s="107" t="n">
        <f aca="false">IF(AM$77=0,0,AM71/AM$77)</f>
        <v>0</v>
      </c>
      <c r="AO71" s="853" t="n">
        <v>0</v>
      </c>
      <c r="AP71" s="107" t="n">
        <f aca="false">IF(AO$77=0,0,AO71/AO$77)</f>
        <v>0</v>
      </c>
      <c r="AQ71" s="853" t="n">
        <v>0</v>
      </c>
      <c r="AR71" s="89" t="n">
        <f aca="false">IF(AQ$77=0,0,AQ71/AQ$77)</f>
        <v>0</v>
      </c>
    </row>
    <row r="72" customFormat="false" ht="12.75" hidden="false" customHeight="false" outlineLevel="0" collapsed="false">
      <c r="A72" s="854" t="n">
        <f aca="false">A71</f>
        <v>2018</v>
      </c>
      <c r="B72" s="855" t="n">
        <f aca="false">B71+1</f>
        <v>35</v>
      </c>
      <c r="C72" s="856" t="n">
        <f aca="false">F71</f>
        <v>0</v>
      </c>
      <c r="D72" s="532" t="n">
        <f aca="false">C72*F$32*0.5</f>
        <v>0</v>
      </c>
      <c r="E72" s="532" t="n">
        <f aca="false">IF(F$34=0,0,IF($B72&gt;=F$31,C72,IF(F$33&gt;=$B72,0,IF(C72&gt;1,CHOOSE(F$34,F$29/(F$31-F$33),-PMT(F$32/2,F$31-$B71,C72,0)-D72,F$29*$AH72)))))*Assm!$X$90</f>
        <v>0</v>
      </c>
      <c r="F72" s="859" t="n">
        <f aca="false">C72-E72</f>
        <v>0</v>
      </c>
      <c r="G72" s="856" t="n">
        <f aca="false">J71</f>
        <v>0</v>
      </c>
      <c r="H72" s="532" t="n">
        <f aca="false">G72*J$32*0.5</f>
        <v>0</v>
      </c>
      <c r="I72" s="532" t="n">
        <f aca="false">IF(J$34=0,0,IF($B72&gt;=J$31,G72,IF(J$33&gt;=$B72,0,IF(G72&gt;1,CHOOSE(J$34,J$29/(J$31-J$33),-PMT(J$32/2,J$31-$B71,G72,0)-H72,J$29*$AJ72)))))</f>
        <v>0</v>
      </c>
      <c r="J72" s="859" t="n">
        <f aca="false">G72-I72</f>
        <v>0</v>
      </c>
      <c r="K72" s="856" t="n">
        <f aca="false">N71</f>
        <v>0</v>
      </c>
      <c r="L72" s="532" t="n">
        <f aca="false">K72*N$32*0.5</f>
        <v>0</v>
      </c>
      <c r="M72" s="532" t="n">
        <f aca="false">IF(N$34=0,0,IF($B72&gt;=N$31,K72,IF(N$33&gt;=$B72,0,IF(K72&gt;1,CHOOSE(N$34,N$29/(N$31-N$33),-PMT(N$32/2,N$31-$B71,K72,0)-L72,N$29*$AL72)))))</f>
        <v>0</v>
      </c>
      <c r="N72" s="859" t="n">
        <f aca="false">K72-M72</f>
        <v>0</v>
      </c>
      <c r="O72" s="856" t="n">
        <f aca="false">R71</f>
        <v>0</v>
      </c>
      <c r="P72" s="532" t="n">
        <f aca="false">O72*R$32*0.5</f>
        <v>0</v>
      </c>
      <c r="Q72" s="532" t="n">
        <f aca="false">IF(R$34=0,0,IF($B72&gt;=R$31,O72,IF(R$33&gt;=$B72,0,IF(O72&gt;1,CHOOSE(R$34,R$29/(R$31-R$33),-PMT(R$32/2,R$31-$B71,O72,0)-P72,R$29*$AN72)))))</f>
        <v>0</v>
      </c>
      <c r="R72" s="859" t="n">
        <f aca="false">O72-Q72</f>
        <v>0</v>
      </c>
      <c r="S72" s="856" t="n">
        <f aca="false">V71</f>
        <v>0</v>
      </c>
      <c r="T72" s="532" t="n">
        <f aca="false">S72*V$32*0.5</f>
        <v>0</v>
      </c>
      <c r="U72" s="532" t="n">
        <f aca="false">IF(V$34=0,0,IF($B72&gt;=V$31,S72,IF(V$33&gt;=$B72,0,IF(S72&gt;1,CHOOSE(V$34,V$29/(V$31-V$33),-PMT(V$32/2,V$31-$B71,S72,0)-T72,V$29*$AP72)))))</f>
        <v>0</v>
      </c>
      <c r="V72" s="859" t="n">
        <f aca="false">S72-U72</f>
        <v>0</v>
      </c>
      <c r="W72" s="856" t="n">
        <f aca="false">Z71</f>
        <v>0</v>
      </c>
      <c r="X72" s="532" t="n">
        <f aca="false">W72*Z$32*0.5</f>
        <v>0</v>
      </c>
      <c r="Y72" s="532" t="n">
        <f aca="false">IF(Z$34=0,0,IF($B72&gt;=Z$31,W72,IF(Z$33&gt;=$B72,0,IF(W72&gt;1,CHOOSE(Z$34,Z$29/(Z$31-Z$33),-PMT(Z$32/2,Z$31-$B71,W72,0)-X72,Z$29*$AR72)))))</f>
        <v>0</v>
      </c>
      <c r="Z72" s="859" t="n">
        <f aca="false">W72-Y72</f>
        <v>0</v>
      </c>
      <c r="AA72" s="532" t="n">
        <f aca="false">SUM(D71:D72,H71:H72,L71:L72,P71:P72,T71:T72)</f>
        <v>0</v>
      </c>
      <c r="AB72" s="860" t="n">
        <f aca="false">SUM(E71:E72,I71:I72,M71:M72,Q71:Q72,U71:U72)</f>
        <v>0</v>
      </c>
      <c r="AC72" s="532" t="n">
        <f aca="false">SUM(X71:X72)</f>
        <v>0</v>
      </c>
      <c r="AD72" s="860" t="n">
        <f aca="false">SUM(Y71:Y72)</f>
        <v>0</v>
      </c>
      <c r="AE72" s="861" t="n">
        <f aca="false">(C71+G71+W71)*IF([1]RAROC!$B$103=1,VLOOKUP(A72,[2]!Guar_Fee_Table,2),IF([1]RAROC!$B$103=2,VLOOKUP(A72,[2]!Guar_Fee_Table,3),IF([1]RAROC!$B$103=3,VLOOKUP(A72,[2]!Guar_Fee_Table,4,0))))</f>
        <v>0</v>
      </c>
      <c r="AG72" s="851" t="n">
        <v>0</v>
      </c>
      <c r="AH72" s="852" t="n">
        <f aca="false">IF(AG$77=0,0,AG72/AG$77)</f>
        <v>0</v>
      </c>
      <c r="AI72" s="853" t="n">
        <v>0</v>
      </c>
      <c r="AJ72" s="107" t="n">
        <f aca="false">IF(AI$77=0,0,AI72/AI$77)</f>
        <v>0</v>
      </c>
      <c r="AK72" s="853" t="n">
        <v>0</v>
      </c>
      <c r="AL72" s="107" t="n">
        <f aca="false">IF(AK$77=0,0,AK72/AK$77)</f>
        <v>0</v>
      </c>
      <c r="AM72" s="853" t="n">
        <v>0</v>
      </c>
      <c r="AN72" s="107" t="n">
        <f aca="false">IF(AM$77=0,0,AM72/AM$77)</f>
        <v>0</v>
      </c>
      <c r="AO72" s="853" t="n">
        <v>0</v>
      </c>
      <c r="AP72" s="107" t="n">
        <f aca="false">IF(AO$77=0,0,AO72/AO$77)</f>
        <v>0</v>
      </c>
      <c r="AQ72" s="853" t="n">
        <v>0</v>
      </c>
      <c r="AR72" s="89" t="n">
        <f aca="false">IF(AQ$77=0,0,AQ72/AQ$77)</f>
        <v>0</v>
      </c>
    </row>
    <row r="73" customFormat="false" ht="12.75" hidden="false" customHeight="false" outlineLevel="0" collapsed="false">
      <c r="A73" s="258" t="n">
        <f aca="false">A71+1</f>
        <v>2019</v>
      </c>
      <c r="B73" s="848" t="n">
        <f aca="false">B72+1</f>
        <v>36</v>
      </c>
      <c r="C73" s="849" t="n">
        <f aca="false">F72</f>
        <v>0</v>
      </c>
      <c r="D73" s="61" t="n">
        <f aca="false">C73*F$32*0.5</f>
        <v>0</v>
      </c>
      <c r="E73" s="61" t="n">
        <f aca="false">IF(F$34=0,0,IF($B73&gt;=F$31,C73,IF(F$33&gt;=$B73,0,IF(C73&gt;1,CHOOSE(F$34,F$29/(F$31-F$33),-PMT(F$32/2,F$31-$B72,C73,0)-D73,F$29*$AH73)))))*Assm!$X$90</f>
        <v>0</v>
      </c>
      <c r="F73" s="824" t="n">
        <f aca="false">C73-E73</f>
        <v>0</v>
      </c>
      <c r="G73" s="849" t="n">
        <f aca="false">J72</f>
        <v>0</v>
      </c>
      <c r="H73" s="61" t="n">
        <f aca="false">G73*J$32*0.5</f>
        <v>0</v>
      </c>
      <c r="I73" s="61" t="n">
        <f aca="false">IF(J$34=0,0,IF($B73&gt;=J$31,G73,IF(J$33&gt;=$B73,0,IF(G73&gt;1,CHOOSE(J$34,J$29/(J$31-J$33),-PMT(J$32/2,J$31-$B72,G73,0)-H73,J$29*$AJ73)))))</f>
        <v>0</v>
      </c>
      <c r="J73" s="824" t="n">
        <f aca="false">G73-I73</f>
        <v>0</v>
      </c>
      <c r="K73" s="849" t="n">
        <f aca="false">N72</f>
        <v>0</v>
      </c>
      <c r="L73" s="61" t="n">
        <f aca="false">K73*N$32*0.5</f>
        <v>0</v>
      </c>
      <c r="M73" s="61" t="n">
        <f aca="false">IF(N$34=0,0,IF($B73&gt;=N$31,K73,IF(N$33&gt;=$B73,0,IF(K73&gt;1,CHOOSE(N$34,N$29/(N$31-N$33),-PMT(N$32/2,N$31-$B72,K73,0)-L73,N$29*$AL73)))))</f>
        <v>0</v>
      </c>
      <c r="N73" s="824" t="n">
        <f aca="false">K73-M73</f>
        <v>0</v>
      </c>
      <c r="O73" s="849" t="n">
        <f aca="false">R72</f>
        <v>0</v>
      </c>
      <c r="P73" s="61" t="n">
        <f aca="false">O73*R$32*0.5</f>
        <v>0</v>
      </c>
      <c r="Q73" s="61" t="n">
        <f aca="false">IF(R$34=0,0,IF($B73&gt;=R$31,O73,IF(R$33&gt;=$B73,0,IF(O73&gt;1,CHOOSE(R$34,R$29/(R$31-R$33),-PMT(R$32/2,R$31-$B72,O73,0)-P73,R$29*$AN73)))))</f>
        <v>0</v>
      </c>
      <c r="R73" s="824" t="n">
        <f aca="false">O73-Q73</f>
        <v>0</v>
      </c>
      <c r="S73" s="849" t="n">
        <f aca="false">V72</f>
        <v>0</v>
      </c>
      <c r="T73" s="61" t="n">
        <f aca="false">S73*V$32*0.5</f>
        <v>0</v>
      </c>
      <c r="U73" s="61" t="n">
        <f aca="false">IF(V$34=0,0,IF($B73&gt;=V$31,S73,IF(V$33&gt;=$B73,0,IF(S73&gt;1,CHOOSE(V$34,V$29/(V$31-V$33),-PMT(V$32/2,V$31-$B72,S73,0)-T73,V$29*$AP73)))))</f>
        <v>0</v>
      </c>
      <c r="V73" s="824" t="n">
        <f aca="false">S73-U73</f>
        <v>0</v>
      </c>
      <c r="W73" s="849" t="n">
        <f aca="false">Z72</f>
        <v>0</v>
      </c>
      <c r="X73" s="61" t="n">
        <f aca="false">W73*Z$32*0.5</f>
        <v>0</v>
      </c>
      <c r="Y73" s="61" t="n">
        <f aca="false">IF(Z$34=0,0,IF($B73&gt;=Z$31,W73,IF(Z$33&gt;=$B73,0,IF(W73&gt;1,CHOOSE(Z$34,Z$29/(Z$31-Z$33),-PMT(Z$32/2,Z$31-$B72,W73,0)-X73,Z$29*$AR73)))))</f>
        <v>0</v>
      </c>
      <c r="Z73" s="824" t="n">
        <f aca="false">W73-Y73</f>
        <v>0</v>
      </c>
      <c r="AA73" s="61"/>
      <c r="AB73" s="65"/>
      <c r="AC73" s="61"/>
      <c r="AD73" s="65"/>
      <c r="AE73" s="826"/>
      <c r="AG73" s="851" t="n">
        <v>0</v>
      </c>
      <c r="AH73" s="852" t="n">
        <f aca="false">IF(AG$77=0,0,AG73/AG$77)</f>
        <v>0</v>
      </c>
      <c r="AI73" s="853" t="n">
        <v>0</v>
      </c>
      <c r="AJ73" s="107" t="n">
        <f aca="false">IF(AI$77=0,0,AI73/AI$77)</f>
        <v>0</v>
      </c>
      <c r="AK73" s="853" t="n">
        <v>0</v>
      </c>
      <c r="AL73" s="107" t="n">
        <f aca="false">IF(AK$77=0,0,AK73/AK$77)</f>
        <v>0</v>
      </c>
      <c r="AM73" s="853" t="n">
        <v>0</v>
      </c>
      <c r="AN73" s="107" t="n">
        <f aca="false">IF(AM$77=0,0,AM73/AM$77)</f>
        <v>0</v>
      </c>
      <c r="AO73" s="853" t="n">
        <v>0</v>
      </c>
      <c r="AP73" s="107" t="n">
        <f aca="false">IF(AO$77=0,0,AO73/AO$77)</f>
        <v>0</v>
      </c>
      <c r="AQ73" s="853" t="n">
        <v>0</v>
      </c>
      <c r="AR73" s="89" t="n">
        <f aca="false">IF(AQ$77=0,0,AQ73/AQ$77)</f>
        <v>0</v>
      </c>
    </row>
    <row r="74" customFormat="false" ht="12.75" hidden="false" customHeight="false" outlineLevel="0" collapsed="false">
      <c r="A74" s="854" t="n">
        <f aca="false">A73</f>
        <v>2019</v>
      </c>
      <c r="B74" s="855" t="n">
        <f aca="false">B73+1</f>
        <v>37</v>
      </c>
      <c r="C74" s="856" t="n">
        <f aca="false">F73</f>
        <v>0</v>
      </c>
      <c r="D74" s="532" t="n">
        <f aca="false">C74*F$32*0.5</f>
        <v>0</v>
      </c>
      <c r="E74" s="532" t="n">
        <f aca="false">IF(F$34=0,0,IF($B74&gt;=F$31,C74,IF(F$33&gt;=$B74,0,IF(C74&gt;1,CHOOSE(F$34,F$29/(F$31-F$33),-PMT(F$32/2,F$31-$B73,C74,0)-D74,F$29*$AH74)))))*Assm!$X$90</f>
        <v>0</v>
      </c>
      <c r="F74" s="859" t="n">
        <f aca="false">C74-E74</f>
        <v>0</v>
      </c>
      <c r="G74" s="856" t="n">
        <f aca="false">J73</f>
        <v>0</v>
      </c>
      <c r="H74" s="532" t="n">
        <f aca="false">G74*J$32*0.5</f>
        <v>0</v>
      </c>
      <c r="I74" s="532" t="n">
        <f aca="false">IF(J$34=0,0,IF($B74&gt;=J$31,G74,IF(J$33&gt;=$B74,0,IF(G74&gt;1,CHOOSE(J$34,J$29/(J$31-J$33),-PMT(J$32/2,J$31-$B73,G74,0)-H74,J$29*$AJ74)))))</f>
        <v>0</v>
      </c>
      <c r="J74" s="859" t="n">
        <f aca="false">G74-I74</f>
        <v>0</v>
      </c>
      <c r="K74" s="856" t="n">
        <f aca="false">N73</f>
        <v>0</v>
      </c>
      <c r="L74" s="532" t="n">
        <f aca="false">K74*N$32*0.5</f>
        <v>0</v>
      </c>
      <c r="M74" s="532" t="n">
        <f aca="false">IF(N$34=0,0,IF($B74&gt;=N$31,K74,IF(N$33&gt;=$B74,0,IF(K74&gt;1,CHOOSE(N$34,N$29/(N$31-N$33),-PMT(N$32/2,N$31-$B73,K74,0)-L74,N$29*$AL74)))))</f>
        <v>0</v>
      </c>
      <c r="N74" s="859" t="n">
        <f aca="false">K74-M74</f>
        <v>0</v>
      </c>
      <c r="O74" s="856" t="n">
        <f aca="false">R73</f>
        <v>0</v>
      </c>
      <c r="P74" s="532" t="n">
        <f aca="false">O74*R$32*0.5</f>
        <v>0</v>
      </c>
      <c r="Q74" s="532" t="n">
        <f aca="false">IF(R$34=0,0,IF($B74&gt;=R$31,O74,IF(R$33&gt;=$B74,0,IF(O74&gt;1,CHOOSE(R$34,R$29/(R$31-R$33),-PMT(R$32/2,R$31-$B73,O74,0)-P74,R$29*$AN74)))))</f>
        <v>0</v>
      </c>
      <c r="R74" s="859" t="n">
        <f aca="false">O74-Q74</f>
        <v>0</v>
      </c>
      <c r="S74" s="856" t="n">
        <f aca="false">V73</f>
        <v>0</v>
      </c>
      <c r="T74" s="532" t="n">
        <f aca="false">S74*V$32*0.5</f>
        <v>0</v>
      </c>
      <c r="U74" s="532" t="n">
        <f aca="false">IF(V$34=0,0,IF($B74&gt;=V$31,S74,IF(V$33&gt;=$B74,0,IF(S74&gt;1,CHOOSE(V$34,V$29/(V$31-V$33),-PMT(V$32/2,V$31-$B73,S74,0)-T74,V$29*$AP74)))))</f>
        <v>0</v>
      </c>
      <c r="V74" s="859" t="n">
        <f aca="false">S74-U74</f>
        <v>0</v>
      </c>
      <c r="W74" s="856" t="n">
        <f aca="false">Z73</f>
        <v>0</v>
      </c>
      <c r="X74" s="532" t="n">
        <f aca="false">W74*Z$32*0.5</f>
        <v>0</v>
      </c>
      <c r="Y74" s="532" t="n">
        <f aca="false">IF(Z$34=0,0,IF($B74&gt;=Z$31,W74,IF(Z$33&gt;=$B74,0,IF(W74&gt;1,CHOOSE(Z$34,Z$29/(Z$31-Z$33),-PMT(Z$32/2,Z$31-$B73,W74,0)-X74,Z$29*$AR74)))))</f>
        <v>0</v>
      </c>
      <c r="Z74" s="859" t="n">
        <f aca="false">W74-Y74</f>
        <v>0</v>
      </c>
      <c r="AA74" s="532" t="n">
        <f aca="false">SUM(D73:D74,H73:H74,L73:L74,P73:P74,T73:T74)</f>
        <v>0</v>
      </c>
      <c r="AB74" s="860" t="n">
        <f aca="false">SUM(E73:E74,I73:I74,M73:M74,Q73:Q74,U73:U74)</f>
        <v>0</v>
      </c>
      <c r="AC74" s="532" t="n">
        <f aca="false">SUM(X73:X74)</f>
        <v>0</v>
      </c>
      <c r="AD74" s="860" t="n">
        <f aca="false">SUM(Y73:Y74)</f>
        <v>0</v>
      </c>
      <c r="AE74" s="861" t="n">
        <f aca="false">(C73+G73+W73)*IF([1]RAROC!$B$103=1,VLOOKUP(A74,[2]!Guar_Fee_Table,2),IF([1]RAROC!$B$103=2,VLOOKUP(A74,[2]!Guar_Fee_Table,3),IF([1]RAROC!$B$103=3,VLOOKUP(A74,[2]!Guar_Fee_Table,4,0))))</f>
        <v>0</v>
      </c>
      <c r="AG74" s="851" t="n">
        <v>0</v>
      </c>
      <c r="AH74" s="852" t="n">
        <f aca="false">IF(AG$77=0,0,AG74/AG$77)</f>
        <v>0</v>
      </c>
      <c r="AI74" s="853" t="n">
        <v>0</v>
      </c>
      <c r="AJ74" s="107" t="n">
        <f aca="false">IF(AI$77=0,0,AI74/AI$77)</f>
        <v>0</v>
      </c>
      <c r="AK74" s="853" t="n">
        <v>0</v>
      </c>
      <c r="AL74" s="107" t="n">
        <f aca="false">IF(AK$77=0,0,AK74/AK$77)</f>
        <v>0</v>
      </c>
      <c r="AM74" s="853" t="n">
        <v>0</v>
      </c>
      <c r="AN74" s="107" t="n">
        <f aca="false">IF(AM$77=0,0,AM74/AM$77)</f>
        <v>0</v>
      </c>
      <c r="AO74" s="853" t="n">
        <v>0</v>
      </c>
      <c r="AP74" s="107" t="n">
        <f aca="false">IF(AO$77=0,0,AO74/AO$77)</f>
        <v>0</v>
      </c>
      <c r="AQ74" s="853" t="n">
        <v>0</v>
      </c>
      <c r="AR74" s="89" t="n">
        <f aca="false">IF(AQ$77=0,0,AQ74/AQ$77)</f>
        <v>0</v>
      </c>
    </row>
    <row r="75" customFormat="false" ht="12.75" hidden="false" customHeight="false" outlineLevel="0" collapsed="false">
      <c r="A75" s="258" t="n">
        <f aca="false">A73+1</f>
        <v>2020</v>
      </c>
      <c r="B75" s="848" t="n">
        <f aca="false">B74+1</f>
        <v>38</v>
      </c>
      <c r="C75" s="849" t="n">
        <f aca="false">F74</f>
        <v>0</v>
      </c>
      <c r="D75" s="61" t="n">
        <f aca="false">C75*F$32*0.5</f>
        <v>0</v>
      </c>
      <c r="E75" s="61" t="n">
        <f aca="false">IF(F$34=0,0,IF($B75&gt;=F$31,C75,IF(F$33&gt;=$B75,0,IF(C75&gt;1,CHOOSE(F$34,F$29/(F$31-F$33),-PMT(F$32/2,F$31-$B74,C75,0)-D75,F$29*$AH75)))))*Assm!$X$90</f>
        <v>0</v>
      </c>
      <c r="F75" s="824" t="n">
        <f aca="false">C75-E75</f>
        <v>0</v>
      </c>
      <c r="G75" s="849" t="n">
        <f aca="false">J74</f>
        <v>0</v>
      </c>
      <c r="H75" s="61" t="n">
        <f aca="false">G75*J$32*0.5</f>
        <v>0</v>
      </c>
      <c r="I75" s="61" t="n">
        <f aca="false">IF(J$34=0,0,IF($B75&gt;=J$31,G75,IF(J$33&gt;=$B75,0,IF(G75&gt;1,CHOOSE(J$34,J$29/(J$31-J$33),-PMT(J$32/2,J$31-$B74,G75,0)-H75,J$29*$AJ75)))))</f>
        <v>0</v>
      </c>
      <c r="J75" s="824" t="n">
        <f aca="false">G75-I75</f>
        <v>0</v>
      </c>
      <c r="K75" s="849" t="n">
        <f aca="false">N74</f>
        <v>0</v>
      </c>
      <c r="L75" s="61" t="n">
        <f aca="false">K75*N$32*0.5</f>
        <v>0</v>
      </c>
      <c r="M75" s="61" t="n">
        <f aca="false">IF(N$34=0,0,IF($B75&gt;=N$31,K75,IF(N$33&gt;=$B75,0,IF(K75&gt;1,CHOOSE(N$34,N$29/(N$31-N$33),-PMT(N$32/2,N$31-$B74,K75,0)-L75,N$29*$AL75)))))</f>
        <v>0</v>
      </c>
      <c r="N75" s="824" t="n">
        <f aca="false">K75-M75</f>
        <v>0</v>
      </c>
      <c r="O75" s="849" t="n">
        <f aca="false">R74</f>
        <v>0</v>
      </c>
      <c r="P75" s="61" t="n">
        <f aca="false">O75*R$32*0.5</f>
        <v>0</v>
      </c>
      <c r="Q75" s="61" t="n">
        <f aca="false">IF(R$34=0,0,IF($B75&gt;=R$31,O75,IF(R$33&gt;=$B75,0,IF(O75&gt;1,CHOOSE(R$34,R$29/(R$31-R$33),-PMT(R$32/2,R$31-$B74,O75,0)-P75,R$29*$AN75)))))</f>
        <v>0</v>
      </c>
      <c r="R75" s="824" t="n">
        <f aca="false">O75-Q75</f>
        <v>0</v>
      </c>
      <c r="S75" s="849" t="n">
        <f aca="false">V74</f>
        <v>0</v>
      </c>
      <c r="T75" s="61" t="n">
        <f aca="false">S75*V$32*0.5</f>
        <v>0</v>
      </c>
      <c r="U75" s="61" t="n">
        <f aca="false">IF(V$34=0,0,IF($B75&gt;=V$31,S75,IF(V$33&gt;=$B75,0,IF(S75&gt;1,CHOOSE(V$34,V$29/(V$31-V$33),-PMT(V$32/2,V$31-$B74,S75,0)-T75,V$29*$AP75)))))</f>
        <v>0</v>
      </c>
      <c r="V75" s="824" t="n">
        <f aca="false">S75-U75</f>
        <v>0</v>
      </c>
      <c r="W75" s="849" t="n">
        <f aca="false">Z74</f>
        <v>0</v>
      </c>
      <c r="X75" s="61" t="n">
        <f aca="false">W75*Z$32*0.5</f>
        <v>0</v>
      </c>
      <c r="Y75" s="61" t="n">
        <f aca="false">IF(Z$34=0,0,IF($B75&gt;=Z$31,W75,IF(Z$33&gt;=$B75,0,IF(W75&gt;1,CHOOSE(Z$34,Z$29/(Z$31-Z$33),-PMT(Z$32/2,Z$31-$B74,W75,0)-X75,Z$29*$AR75)))))</f>
        <v>0</v>
      </c>
      <c r="Z75" s="824" t="n">
        <f aca="false">W75-Y75</f>
        <v>0</v>
      </c>
      <c r="AA75" s="61"/>
      <c r="AB75" s="65"/>
      <c r="AC75" s="61"/>
      <c r="AD75" s="65"/>
      <c r="AE75" s="826"/>
      <c r="AG75" s="851" t="n">
        <v>0</v>
      </c>
      <c r="AH75" s="852" t="n">
        <f aca="false">IF(AG$77=0,0,AG75/AG$77)</f>
        <v>0</v>
      </c>
      <c r="AI75" s="853" t="n">
        <v>0</v>
      </c>
      <c r="AJ75" s="107" t="n">
        <f aca="false">IF(AI$77=0,0,AI75/AI$77)</f>
        <v>0</v>
      </c>
      <c r="AK75" s="853" t="n">
        <v>0</v>
      </c>
      <c r="AL75" s="107" t="n">
        <f aca="false">IF(AK$77=0,0,AK75/AK$77)</f>
        <v>0</v>
      </c>
      <c r="AM75" s="853" t="n">
        <v>0</v>
      </c>
      <c r="AN75" s="107" t="n">
        <f aca="false">IF(AM$77=0,0,AM75/AM$77)</f>
        <v>0</v>
      </c>
      <c r="AO75" s="853" t="n">
        <v>0</v>
      </c>
      <c r="AP75" s="107" t="n">
        <f aca="false">IF(AO$77=0,0,AO75/AO$77)</f>
        <v>0</v>
      </c>
      <c r="AQ75" s="853" t="n">
        <v>0</v>
      </c>
      <c r="AR75" s="89" t="n">
        <f aca="false">IF(AQ$77=0,0,AQ75/AQ$77)</f>
        <v>0</v>
      </c>
    </row>
    <row r="76" customFormat="false" ht="13.5" hidden="false" customHeight="false" outlineLevel="0" collapsed="false">
      <c r="A76" s="258" t="n">
        <f aca="false">A75</f>
        <v>2020</v>
      </c>
      <c r="B76" s="848" t="n">
        <f aca="false">B75+1</f>
        <v>39</v>
      </c>
      <c r="C76" s="849" t="n">
        <f aca="false">F75</f>
        <v>0</v>
      </c>
      <c r="D76" s="61" t="n">
        <f aca="false">C76*F$32*0.5</f>
        <v>0</v>
      </c>
      <c r="E76" s="61" t="n">
        <f aca="false">IF(F$34=0,0,IF($B76&gt;=F$31,C76,IF(F$33&gt;=$B76,0,IF(C76&gt;1,CHOOSE(F$34,F$29/(F$31-F$33),-PMT(F$32/2,F$31-$B75,C76,0)-D76,F$29*$AH76)))))*Assm!$X$90</f>
        <v>0</v>
      </c>
      <c r="F76" s="824" t="n">
        <f aca="false">C76-E76</f>
        <v>0</v>
      </c>
      <c r="G76" s="849" t="n">
        <f aca="false">J75</f>
        <v>0</v>
      </c>
      <c r="H76" s="61" t="n">
        <f aca="false">G76*J$32*0.5</f>
        <v>0</v>
      </c>
      <c r="I76" s="61" t="n">
        <f aca="false">IF(J$34=0,0,IF($B76&gt;=J$31,G76,IF(J$33&gt;=$B76,0,IF(G76&gt;1,CHOOSE(J$34,J$29/(J$31-J$33),-PMT(J$32/2,J$31-$B75,G76,0)-H76,J$29*$AJ76)))))</f>
        <v>0</v>
      </c>
      <c r="J76" s="824" t="n">
        <f aca="false">G76-I76</f>
        <v>0</v>
      </c>
      <c r="K76" s="849" t="n">
        <f aca="false">N75</f>
        <v>0</v>
      </c>
      <c r="L76" s="61" t="n">
        <f aca="false">K76*N$32*0.5</f>
        <v>0</v>
      </c>
      <c r="M76" s="61" t="n">
        <f aca="false">IF(N$34=0,0,IF($B76&gt;=N$31,K76,IF(N$33&gt;=$B76,0,IF(K76&gt;1,CHOOSE(N$34,N$29/(N$31-N$33),-PMT(N$32/2,N$31-$B75,K76,0)-L76,N$29*$AL76)))))</f>
        <v>0</v>
      </c>
      <c r="N76" s="824" t="n">
        <f aca="false">K76-M76</f>
        <v>0</v>
      </c>
      <c r="O76" s="849" t="n">
        <f aca="false">R75</f>
        <v>0</v>
      </c>
      <c r="P76" s="61" t="n">
        <f aca="false">O76*R$32*0.5</f>
        <v>0</v>
      </c>
      <c r="Q76" s="61" t="n">
        <f aca="false">IF(R$34=0,0,IF($B76&gt;=R$31,O76,IF(R$33&gt;=$B76,0,IF(O76&gt;1,CHOOSE(R$34,R$29/(R$31-R$33),-PMT(R$32/2,R$31-$B75,O76,0)-P76,R$29*$AN76)))))</f>
        <v>0</v>
      </c>
      <c r="R76" s="824" t="n">
        <f aca="false">O76-Q76</f>
        <v>0</v>
      </c>
      <c r="S76" s="849" t="n">
        <f aca="false">V75</f>
        <v>0</v>
      </c>
      <c r="T76" s="61" t="n">
        <f aca="false">S76*V$32*0.5</f>
        <v>0</v>
      </c>
      <c r="U76" s="61" t="n">
        <f aca="false">IF(V$34=0,0,IF($B76&gt;=V$31,S76,IF(V$33&gt;=$B76,0,IF(S76&gt;1,CHOOSE(V$34,V$29/(V$31-V$33),-PMT(V$32/2,V$31-$B75,S76,0)-T76,V$29*$AP76)))))</f>
        <v>0</v>
      </c>
      <c r="V76" s="824" t="n">
        <f aca="false">S76-U76</f>
        <v>0</v>
      </c>
      <c r="W76" s="849" t="n">
        <f aca="false">Z75</f>
        <v>0</v>
      </c>
      <c r="X76" s="61" t="n">
        <f aca="false">W76*Z$32*0.5</f>
        <v>0</v>
      </c>
      <c r="Y76" s="61" t="n">
        <f aca="false">IF(Z$34=0,0,IF($B76&gt;=Z$31,W76,IF(Z$33&gt;=$B76,0,IF(W76&gt;1,CHOOSE(Z$34,Z$29/(Z$31-Z$33),-PMT(Z$32/2,Z$31-$B75,W76,0)-X76,Z$29*$AR76)))))</f>
        <v>0</v>
      </c>
      <c r="Z76" s="824" t="n">
        <f aca="false">W76-Y76</f>
        <v>0</v>
      </c>
      <c r="AA76" s="532" t="n">
        <f aca="false">SUM(D75:D76,H75:H76,L75:L76,P75:P76,T75:T76)</f>
        <v>0</v>
      </c>
      <c r="AB76" s="860" t="n">
        <f aca="false">SUM(E75:E76,I75:I76,M75:M76,Q75:Q76,U75:U76)</f>
        <v>0</v>
      </c>
      <c r="AC76" s="532" t="n">
        <f aca="false">SUM(X75:X76)</f>
        <v>0</v>
      </c>
      <c r="AD76" s="860" t="n">
        <f aca="false">SUM(Y75:Y76)</f>
        <v>0</v>
      </c>
      <c r="AE76" s="861" t="n">
        <f aca="false">(C75+G75+W75)*IF([1]RAROC!$B$103=1,VLOOKUP(A76,[2]!Guar_Fee_Table,2),IF([1]RAROC!$B$103=2,VLOOKUP(A76,[2]!Guar_Fee_Table,3),IF([1]RAROC!$B$103=3,VLOOKUP(A76,[2]!Guar_Fee_Table,4,0))))</f>
        <v>0</v>
      </c>
      <c r="AG76" s="862" t="n">
        <v>0</v>
      </c>
      <c r="AH76" s="863" t="n">
        <f aca="false">IF(AG$77=0,0,AG76/AG$77)</f>
        <v>0</v>
      </c>
      <c r="AI76" s="864" t="n">
        <v>0</v>
      </c>
      <c r="AJ76" s="534" t="n">
        <f aca="false">IF(AI$77=0,0,AI76/AI$77)</f>
        <v>0</v>
      </c>
      <c r="AK76" s="864" t="n">
        <v>0</v>
      </c>
      <c r="AL76" s="534" t="n">
        <f aca="false">IF(AK$77=0,0,AK76/AK$77)</f>
        <v>0</v>
      </c>
      <c r="AM76" s="864" t="n">
        <v>0</v>
      </c>
      <c r="AN76" s="534" t="n">
        <f aca="false">IF(AM$77=0,0,AM76/AM$77)</f>
        <v>0</v>
      </c>
      <c r="AO76" s="864" t="n">
        <v>0</v>
      </c>
      <c r="AP76" s="534" t="n">
        <f aca="false">IF(AO$77=0,0,AO76/AO$77)</f>
        <v>0</v>
      </c>
      <c r="AQ76" s="864" t="n">
        <v>0</v>
      </c>
      <c r="AR76" s="865" t="n">
        <f aca="false">IF(AQ$77=0,0,AQ76/AQ$77)</f>
        <v>0</v>
      </c>
    </row>
    <row r="77" customFormat="false" ht="13.5" hidden="false" customHeight="false" outlineLevel="0" collapsed="false">
      <c r="A77" s="866" t="s">
        <v>749</v>
      </c>
      <c r="B77" s="866"/>
      <c r="C77" s="867"/>
      <c r="D77" s="868" t="n">
        <f aca="false">SUM(D37:D76)</f>
        <v>68247.8982665622</v>
      </c>
      <c r="E77" s="868" t="n">
        <f aca="false">SUM(E37:E76)</f>
        <v>75934.8027862155</v>
      </c>
      <c r="F77" s="869"/>
      <c r="G77" s="867"/>
      <c r="H77" s="868" t="n">
        <f aca="false">SUM(H37:H76)</f>
        <v>0</v>
      </c>
      <c r="I77" s="868" t="n">
        <f aca="false">SUM(I37:I76)</f>
        <v>0</v>
      </c>
      <c r="J77" s="869"/>
      <c r="K77" s="867"/>
      <c r="L77" s="868" t="n">
        <f aca="false">SUM(L37:L76)</f>
        <v>0</v>
      </c>
      <c r="M77" s="868" t="n">
        <f aca="false">SUM(M37:M76)</f>
        <v>0</v>
      </c>
      <c r="N77" s="869"/>
      <c r="O77" s="867"/>
      <c r="P77" s="868" t="n">
        <f aca="false">SUM(P37:P76)</f>
        <v>0</v>
      </c>
      <c r="Q77" s="868" t="n">
        <f aca="false">SUM(Q37:Q76)</f>
        <v>0</v>
      </c>
      <c r="R77" s="869"/>
      <c r="S77" s="867"/>
      <c r="T77" s="868" t="n">
        <f aca="false">SUM(T37:T76)</f>
        <v>0</v>
      </c>
      <c r="U77" s="868" t="n">
        <f aca="false">SUM(U37:U76)</f>
        <v>0</v>
      </c>
      <c r="V77" s="869"/>
      <c r="W77" s="867"/>
      <c r="X77" s="868" t="n">
        <f aca="false">SUM(X37:X76)</f>
        <v>20662.4944064648</v>
      </c>
      <c r="Y77" s="868" t="n">
        <f aca="false">SUM(Y37:Y76)</f>
        <v>21492.6890302453</v>
      </c>
      <c r="Z77" s="869"/>
      <c r="AA77" s="868" t="n">
        <f aca="false">SUM(AA37:AA76)</f>
        <v>68247.8982665621</v>
      </c>
      <c r="AB77" s="870" t="n">
        <f aca="false">SUM(AB37:AB76)</f>
        <v>75934.8027862155</v>
      </c>
      <c r="AC77" s="868" t="n">
        <f aca="false">SUM(AC37:AC76)</f>
        <v>20662.4944064648</v>
      </c>
      <c r="AD77" s="870" t="n">
        <f aca="false">SUM(AD37:AD76)</f>
        <v>21492.6890302453</v>
      </c>
      <c r="AE77" s="870" t="n">
        <f aca="false">SUM(AE37:AE76)</f>
        <v>9333.92602231645</v>
      </c>
      <c r="AG77" s="871" t="n">
        <f aca="false">SUM(AG37:AG76)</f>
        <v>200000</v>
      </c>
      <c r="AH77" s="852" t="n">
        <f aca="false">SUM(AH37:AH76)</f>
        <v>1</v>
      </c>
      <c r="AI77" s="849" t="n">
        <f aca="false">SUM(AI37:AI76)</f>
        <v>0</v>
      </c>
      <c r="AJ77" s="107" t="n">
        <f aca="false">SUM(AJ37:AJ76)</f>
        <v>0</v>
      </c>
      <c r="AK77" s="849" t="n">
        <f aca="false">SUM(AK37:AK76)</f>
        <v>0</v>
      </c>
      <c r="AL77" s="107" t="n">
        <f aca="false">SUM(AL37:AL76)</f>
        <v>0</v>
      </c>
      <c r="AM77" s="849" t="n">
        <f aca="false">SUM(AM37:AM76)</f>
        <v>0</v>
      </c>
      <c r="AN77" s="107" t="n">
        <f aca="false">SUM(AN37:AN76)</f>
        <v>0</v>
      </c>
      <c r="AO77" s="849" t="n">
        <f aca="false">SUM(AO37:AO76)</f>
        <v>0</v>
      </c>
      <c r="AP77" s="107" t="n">
        <f aca="false">SUM(AP37:AP76)</f>
        <v>0</v>
      </c>
      <c r="AQ77" s="849" t="n">
        <f aca="false">SUM(AQ37:AQ76)</f>
        <v>0</v>
      </c>
      <c r="AR77" s="89" t="n">
        <f aca="false">SUM(AR37:AR76)</f>
        <v>0</v>
      </c>
    </row>
    <row r="78" customFormat="false" ht="13.5" hidden="false" customHeight="false" outlineLevel="0" collapsed="false">
      <c r="AG78" s="49"/>
      <c r="AH78" s="872"/>
      <c r="AI78" s="873"/>
      <c r="AJ78" s="22"/>
      <c r="AK78" s="873"/>
      <c r="AL78" s="22"/>
      <c r="AM78" s="873"/>
      <c r="AN78" s="22"/>
      <c r="AO78" s="873"/>
      <c r="AP78" s="22"/>
      <c r="AQ78" s="873"/>
      <c r="AR78" s="122"/>
    </row>
    <row r="79" customFormat="false" ht="12.75" hidden="false" customHeight="false" outlineLevel="0" collapsed="false">
      <c r="B79" s="874" t="n">
        <v>1</v>
      </c>
      <c r="C79" s="874" t="n">
        <f aca="false">B79+1</f>
        <v>2</v>
      </c>
      <c r="D79" s="874" t="n">
        <f aca="false">C79+1</f>
        <v>3</v>
      </c>
      <c r="E79" s="874" t="n">
        <f aca="false">D79+1</f>
        <v>4</v>
      </c>
      <c r="F79" s="874" t="n">
        <f aca="false">E79+1</f>
        <v>5</v>
      </c>
      <c r="G79" s="874" t="n">
        <f aca="false">F79+1</f>
        <v>6</v>
      </c>
      <c r="H79" s="874" t="n">
        <f aca="false">G79+1</f>
        <v>7</v>
      </c>
      <c r="I79" s="874" t="n">
        <f aca="false">H79+1</f>
        <v>8</v>
      </c>
      <c r="J79" s="874" t="n">
        <f aca="false">I79+1</f>
        <v>9</v>
      </c>
      <c r="K79" s="874" t="n">
        <f aca="false">J79+1</f>
        <v>10</v>
      </c>
      <c r="L79" s="874" t="n">
        <f aca="false">K79+1</f>
        <v>11</v>
      </c>
      <c r="M79" s="874" t="n">
        <f aca="false">L79+1</f>
        <v>12</v>
      </c>
      <c r="N79" s="874" t="n">
        <f aca="false">M79+1</f>
        <v>13</v>
      </c>
      <c r="O79" s="874" t="n">
        <f aca="false">N79+1</f>
        <v>14</v>
      </c>
      <c r="P79" s="874" t="n">
        <f aca="false">O79+1</f>
        <v>15</v>
      </c>
      <c r="Q79" s="874" t="n">
        <f aca="false">P79+1</f>
        <v>16</v>
      </c>
      <c r="R79" s="874" t="n">
        <f aca="false">Q79+1</f>
        <v>17</v>
      </c>
      <c r="S79" s="874" t="n">
        <f aca="false">R79+1</f>
        <v>18</v>
      </c>
      <c r="T79" s="874" t="n">
        <f aca="false">S79+1</f>
        <v>19</v>
      </c>
      <c r="U79" s="874" t="n">
        <f aca="false">T79+1</f>
        <v>20</v>
      </c>
      <c r="V79" s="874" t="n">
        <f aca="false">U79+1</f>
        <v>21</v>
      </c>
      <c r="W79" s="874" t="n">
        <f aca="false">V79+1</f>
        <v>22</v>
      </c>
      <c r="X79" s="874" t="n">
        <f aca="false">W79+1</f>
        <v>23</v>
      </c>
      <c r="Y79" s="874" t="n">
        <f aca="false">X79+1</f>
        <v>24</v>
      </c>
      <c r="Z79" s="874" t="n">
        <f aca="false">Y79+1</f>
        <v>25</v>
      </c>
      <c r="AA79" s="874" t="n">
        <f aca="false">Z79+1</f>
        <v>26</v>
      </c>
      <c r="AB79" s="874" t="n">
        <f aca="false">AA79+1</f>
        <v>27</v>
      </c>
      <c r="AC79" s="874" t="n">
        <f aca="false">AB79+1</f>
        <v>28</v>
      </c>
      <c r="AD79" s="874" t="n">
        <f aca="false">AC79+1</f>
        <v>29</v>
      </c>
      <c r="AE79" s="874" t="n">
        <f aca="false">AD79+1</f>
        <v>30</v>
      </c>
      <c r="AF79" s="1" t="s">
        <v>750</v>
      </c>
    </row>
  </sheetData>
  <mergeCells count="8">
    <mergeCell ref="C28:F28"/>
    <mergeCell ref="G28:J28"/>
    <mergeCell ref="K28:N28"/>
    <mergeCell ref="O28:R28"/>
    <mergeCell ref="S28:V28"/>
    <mergeCell ref="W28:Z28"/>
    <mergeCell ref="AG33:AR33"/>
    <mergeCell ref="A77:B77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3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6.7"/>
    <col collapsed="false" customWidth="true" hidden="false" outlineLevel="0" max="24" min="2" style="1" width="10.71"/>
    <col collapsed="false" customWidth="true" hidden="false" outlineLevel="0" max="25" min="25" style="39" width="10.71"/>
    <col collapsed="false" customWidth="false" hidden="false" outlineLevel="0" max="257" min="26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116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116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69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73"/>
      <c r="W3" s="473"/>
      <c r="X3" s="473"/>
      <c r="Y3" s="116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751</v>
      </c>
      <c r="B4" s="21"/>
      <c r="C4" s="15"/>
      <c r="D4" s="108"/>
      <c r="E4" s="469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116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13" t="n">
        <f aca="false">CF!E6</f>
        <v>1</v>
      </c>
      <c r="E6" s="213" t="n">
        <f aca="false">CF!F6</f>
        <v>2</v>
      </c>
      <c r="F6" s="213" t="n">
        <f aca="false">CF!G6</f>
        <v>3</v>
      </c>
      <c r="G6" s="213" t="n">
        <f aca="false">CF!H6</f>
        <v>4</v>
      </c>
      <c r="H6" s="213" t="n">
        <f aca="false">CF!I6</f>
        <v>5</v>
      </c>
      <c r="I6" s="213" t="n">
        <f aca="false">CF!J6</f>
        <v>6</v>
      </c>
      <c r="J6" s="213" t="n">
        <f aca="false">CF!K6</f>
        <v>7</v>
      </c>
      <c r="K6" s="213" t="n">
        <f aca="false">CF!L6</f>
        <v>8</v>
      </c>
      <c r="L6" s="213" t="n">
        <f aca="false">CF!M6</f>
        <v>9</v>
      </c>
      <c r="M6" s="213" t="n">
        <f aca="false">CF!N6</f>
        <v>10</v>
      </c>
      <c r="N6" s="213" t="n">
        <f aca="false">CF!O6</f>
        <v>11</v>
      </c>
      <c r="O6" s="213" t="n">
        <f aca="false">CF!P6</f>
        <v>12</v>
      </c>
      <c r="P6" s="213" t="n">
        <f aca="false">CF!Q6</f>
        <v>13</v>
      </c>
      <c r="Q6" s="213" t="n">
        <f aca="false">CF!R6</f>
        <v>14</v>
      </c>
      <c r="R6" s="213" t="n">
        <f aca="false">CF!S6</f>
        <v>15</v>
      </c>
      <c r="S6" s="213" t="n">
        <f aca="false">CF!T6</f>
        <v>16</v>
      </c>
      <c r="T6" s="213" t="n">
        <f aca="false">CF!U6</f>
        <v>17</v>
      </c>
      <c r="U6" s="213" t="n">
        <f aca="false">CF!V6</f>
        <v>18</v>
      </c>
      <c r="V6" s="213" t="n">
        <f aca="false">CF!W6</f>
        <v>19</v>
      </c>
      <c r="W6" s="213" t="n">
        <f aca="false">CF!X6</f>
        <v>20</v>
      </c>
      <c r="X6" s="213" t="n">
        <f aca="false">CF!Y6</f>
        <v>21</v>
      </c>
      <c r="Y6" s="287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322</v>
      </c>
      <c r="B7" s="22"/>
      <c r="C7" s="22"/>
      <c r="D7" s="547" t="n">
        <f aca="false">CF!E7</f>
        <v>1999</v>
      </c>
      <c r="E7" s="547" t="n">
        <f aca="false">CF!F7</f>
        <v>2000</v>
      </c>
      <c r="F7" s="547" t="n">
        <f aca="false">CF!G7</f>
        <v>2001</v>
      </c>
      <c r="G7" s="547" t="n">
        <f aca="false">CF!H7</f>
        <v>2002</v>
      </c>
      <c r="H7" s="547" t="n">
        <f aca="false">CF!I7</f>
        <v>2003</v>
      </c>
      <c r="I7" s="547" t="n">
        <f aca="false">CF!J7</f>
        <v>2004</v>
      </c>
      <c r="J7" s="547" t="n">
        <f aca="false">CF!K7</f>
        <v>2005</v>
      </c>
      <c r="K7" s="547" t="n">
        <f aca="false">CF!L7</f>
        <v>2006</v>
      </c>
      <c r="L7" s="547" t="n">
        <f aca="false">CF!M7</f>
        <v>2007</v>
      </c>
      <c r="M7" s="547" t="n">
        <f aca="false">CF!N7</f>
        <v>2008</v>
      </c>
      <c r="N7" s="547" t="n">
        <f aca="false">CF!O7</f>
        <v>2009</v>
      </c>
      <c r="O7" s="547" t="n">
        <f aca="false">CF!P7</f>
        <v>2010</v>
      </c>
      <c r="P7" s="547" t="n">
        <f aca="false">CF!Q7</f>
        <v>2011</v>
      </c>
      <c r="Q7" s="547" t="n">
        <f aca="false">CF!R7</f>
        <v>2012</v>
      </c>
      <c r="R7" s="547" t="n">
        <f aca="false">CF!S7</f>
        <v>2013</v>
      </c>
      <c r="S7" s="547" t="n">
        <f aca="false">CF!T7</f>
        <v>2014</v>
      </c>
      <c r="T7" s="547" t="n">
        <f aca="false">CF!U7</f>
        <v>2015</v>
      </c>
      <c r="U7" s="547" t="n">
        <f aca="false">CF!V7</f>
        <v>2016</v>
      </c>
      <c r="V7" s="547" t="n">
        <f aca="false">CF!W7</f>
        <v>2017</v>
      </c>
      <c r="W7" s="547" t="n">
        <f aca="false">CF!X7</f>
        <v>2018</v>
      </c>
      <c r="X7" s="547" t="n">
        <f aca="false">CF!Y7</f>
        <v>2019</v>
      </c>
      <c r="Y7" s="293" t="s">
        <v>718</v>
      </c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85" t="s">
        <v>752</v>
      </c>
      <c r="B8" s="39"/>
      <c r="C8" s="39"/>
      <c r="D8" s="274" t="n">
        <v>12</v>
      </c>
      <c r="E8" s="274" t="n">
        <v>12</v>
      </c>
      <c r="F8" s="274" t="n">
        <v>12</v>
      </c>
      <c r="G8" s="274" t="n">
        <v>12</v>
      </c>
      <c r="H8" s="274" t="n">
        <v>12</v>
      </c>
      <c r="I8" s="274" t="n">
        <v>12</v>
      </c>
      <c r="J8" s="274" t="n">
        <v>12</v>
      </c>
      <c r="K8" s="274" t="n">
        <v>12</v>
      </c>
      <c r="L8" s="274" t="n">
        <v>12</v>
      </c>
      <c r="M8" s="274" t="n">
        <v>12</v>
      </c>
      <c r="N8" s="274" t="n">
        <v>12</v>
      </c>
      <c r="O8" s="274" t="n">
        <v>12</v>
      </c>
      <c r="P8" s="274" t="n">
        <v>12</v>
      </c>
      <c r="Q8" s="274" t="n">
        <v>12</v>
      </c>
      <c r="R8" s="274" t="n">
        <v>12</v>
      </c>
      <c r="S8" s="274" t="n">
        <v>12</v>
      </c>
      <c r="T8" s="274" t="n">
        <v>12</v>
      </c>
      <c r="U8" s="274" t="n">
        <v>12</v>
      </c>
      <c r="V8" s="274" t="n">
        <v>12</v>
      </c>
      <c r="W8" s="274" t="n">
        <v>12</v>
      </c>
      <c r="X8" s="274" t="n">
        <v>12</v>
      </c>
      <c r="Y8" s="298"/>
    </row>
    <row r="9" customFormat="false" ht="12.75" hidden="false" customHeight="false" outlineLevel="0" collapsed="false">
      <c r="A9" s="37" t="s">
        <v>423</v>
      </c>
      <c r="B9" s="39"/>
      <c r="C9" s="39"/>
      <c r="D9" s="39" t="n">
        <f aca="false">CF!E9</f>
        <v>0</v>
      </c>
      <c r="E9" s="39" t="n">
        <f aca="false">CF!F9</f>
        <v>0</v>
      </c>
      <c r="F9" s="39" t="n">
        <f aca="false">CF!G9</f>
        <v>10</v>
      </c>
      <c r="G9" s="39" t="n">
        <f aca="false">CF!H9</f>
        <v>12</v>
      </c>
      <c r="H9" s="39" t="n">
        <f aca="false">CF!I9</f>
        <v>12</v>
      </c>
      <c r="I9" s="39" t="n">
        <f aca="false">CF!J9</f>
        <v>12</v>
      </c>
      <c r="J9" s="39" t="n">
        <f aca="false">CF!K9</f>
        <v>12</v>
      </c>
      <c r="K9" s="39" t="n">
        <f aca="false">CF!L9</f>
        <v>12</v>
      </c>
      <c r="L9" s="39" t="n">
        <f aca="false">CF!M9</f>
        <v>12</v>
      </c>
      <c r="M9" s="39" t="n">
        <f aca="false">CF!N9</f>
        <v>12</v>
      </c>
      <c r="N9" s="39" t="n">
        <f aca="false">CF!O9</f>
        <v>12</v>
      </c>
      <c r="O9" s="39" t="n">
        <f aca="false">CF!P9</f>
        <v>12</v>
      </c>
      <c r="P9" s="39" t="n">
        <f aca="false">CF!Q9</f>
        <v>12</v>
      </c>
      <c r="Q9" s="39" t="n">
        <f aca="false">CF!R9</f>
        <v>12</v>
      </c>
      <c r="R9" s="39" t="n">
        <f aca="false">CF!S9</f>
        <v>12</v>
      </c>
      <c r="S9" s="39" t="n">
        <f aca="false">CF!T9</f>
        <v>12</v>
      </c>
      <c r="T9" s="39" t="n">
        <f aca="false">CF!U9</f>
        <v>12</v>
      </c>
      <c r="U9" s="39" t="n">
        <f aca="false">CF!V9</f>
        <v>12</v>
      </c>
      <c r="V9" s="39" t="n">
        <f aca="false">CF!W9</f>
        <v>12</v>
      </c>
      <c r="W9" s="39" t="n">
        <f aca="false">CF!X9</f>
        <v>12</v>
      </c>
      <c r="X9" s="39" t="n">
        <f aca="false">CF!Y9</f>
        <v>4</v>
      </c>
      <c r="Y9" s="298" t="n">
        <f aca="false">CF!Z9</f>
        <v>218</v>
      </c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298"/>
    </row>
    <row r="11" customFormat="false" ht="12.75" hidden="false" customHeight="false" outlineLevel="0" collapsed="false">
      <c r="A11" s="114" t="s">
        <v>753</v>
      </c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298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7" t="s">
        <v>328</v>
      </c>
      <c r="B12" s="39"/>
      <c r="C12" s="39"/>
      <c r="D12" s="61" t="n">
        <f aca="false">CF!E18</f>
        <v>0</v>
      </c>
      <c r="E12" s="61" t="n">
        <f aca="false">CF!F18</f>
        <v>0</v>
      </c>
      <c r="F12" s="61" t="n">
        <f aca="false">CF!G18</f>
        <v>8464.08082245497</v>
      </c>
      <c r="G12" s="61" t="n">
        <f aca="false">CF!H18</f>
        <v>14255.1350679866</v>
      </c>
      <c r="H12" s="61" t="n">
        <f aca="false">CF!I18</f>
        <v>14692.6643266972</v>
      </c>
      <c r="I12" s="61" t="n">
        <f aca="false">CF!J18</f>
        <v>15166.7261290266</v>
      </c>
      <c r="J12" s="61" t="n">
        <f aca="false">CF!K18</f>
        <v>15561.1605933461</v>
      </c>
      <c r="K12" s="61" t="n">
        <f aca="false">CF!L18</f>
        <v>15999.6369712766</v>
      </c>
      <c r="L12" s="61" t="n">
        <f aca="false">CF!M18</f>
        <v>16440.5194342833</v>
      </c>
      <c r="M12" s="61" t="n">
        <f aca="false">CF!N18</f>
        <v>16928.9337579163</v>
      </c>
      <c r="N12" s="61" t="n">
        <f aca="false">CF!O18</f>
        <v>17329.6696542016</v>
      </c>
      <c r="O12" s="61" t="n">
        <f aca="false">CF!P18</f>
        <v>17779.8886398872</v>
      </c>
      <c r="P12" s="61" t="n">
        <f aca="false">CF!Q18</f>
        <v>18234.9521276381</v>
      </c>
      <c r="Q12" s="61" t="n">
        <f aca="false">CF!R18</f>
        <v>18746.6664001565</v>
      </c>
      <c r="R12" s="61" t="n">
        <f aca="false">CF!S18</f>
        <v>19166.3462288322</v>
      </c>
      <c r="S12" s="61" t="n">
        <f aca="false">CF!T18</f>
        <v>19649.6774311726</v>
      </c>
      <c r="T12" s="61" t="n">
        <f aca="false">CF!U18</f>
        <v>20151.1595364448</v>
      </c>
      <c r="U12" s="61" t="n">
        <f aca="false">CF!V18</f>
        <v>20729.4604535379</v>
      </c>
      <c r="V12" s="61" t="n">
        <f aca="false">CF!W18</f>
        <v>21219.9335601026</v>
      </c>
      <c r="W12" s="61" t="n">
        <f aca="false">CF!X18</f>
        <v>21790.3124789758</v>
      </c>
      <c r="X12" s="61" t="n">
        <f aca="false">CF!Y18</f>
        <v>7226.4497213104</v>
      </c>
      <c r="Y12" s="304" t="n">
        <f aca="false">SUM(D12:X12)</f>
        <v>319533.373335247</v>
      </c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754</v>
      </c>
      <c r="B13" s="39"/>
      <c r="C13" s="39"/>
      <c r="D13" s="61" t="n">
        <f aca="false">-CF!E34</f>
        <v>-0</v>
      </c>
      <c r="E13" s="61" t="n">
        <f aca="false">-CF!F34</f>
        <v>-0</v>
      </c>
      <c r="F13" s="61" t="n">
        <f aca="false">-CF!G34</f>
        <v>-1726.03747483432</v>
      </c>
      <c r="G13" s="61" t="n">
        <f aca="false">-CF!H34</f>
        <v>-2152.49508548174</v>
      </c>
      <c r="H13" s="61" t="n">
        <f aca="false">-CF!I34</f>
        <v>-3116.0917033311</v>
      </c>
      <c r="I13" s="61" t="n">
        <f aca="false">-CF!J34</f>
        <v>-2685.58951142806</v>
      </c>
      <c r="J13" s="61" t="n">
        <f aca="false">-CF!K34</f>
        <v>-2296.62193942175</v>
      </c>
      <c r="K13" s="61" t="n">
        <f aca="false">-CF!L34</f>
        <v>-2456.4268675285</v>
      </c>
      <c r="L13" s="61" t="n">
        <f aca="false">-CF!M34</f>
        <v>-2452.54925722092</v>
      </c>
      <c r="M13" s="61" t="n">
        <f aca="false">-CF!N34</f>
        <v>-2743.26083585639</v>
      </c>
      <c r="N13" s="61" t="n">
        <f aca="false">-CF!O34</f>
        <v>-2555.79734649026</v>
      </c>
      <c r="O13" s="61" t="n">
        <f aca="false">-CF!P34</f>
        <v>-2708.880095247</v>
      </c>
      <c r="P13" s="61" t="n">
        <f aca="false">-CF!Q34</f>
        <v>-2688.63642366113</v>
      </c>
      <c r="Q13" s="61" t="n">
        <f aca="false">-CF!R34</f>
        <v>-2756.43197959719</v>
      </c>
      <c r="R13" s="61" t="n">
        <f aca="false">-CF!S34</f>
        <v>-4090.03169208576</v>
      </c>
      <c r="S13" s="61" t="n">
        <f aca="false">-CF!T34</f>
        <v>-3014.23033143617</v>
      </c>
      <c r="T13" s="61" t="n">
        <f aca="false">-CF!U34</f>
        <v>-2971.32339525099</v>
      </c>
      <c r="U13" s="61" t="n">
        <f aca="false">-CF!V34</f>
        <v>-3082.82704559384</v>
      </c>
      <c r="V13" s="61" t="n">
        <f aca="false">-CF!W34</f>
        <v>-3129.84112432897</v>
      </c>
      <c r="W13" s="61" t="n">
        <f aca="false">-CF!X34</f>
        <v>-3191.10209829644</v>
      </c>
      <c r="X13" s="61" t="n">
        <f aca="false">-CF!Y34</f>
        <v>-1092.8921652229</v>
      </c>
      <c r="Y13" s="304" t="n">
        <f aca="false">SUM(D13:X13)</f>
        <v>-50911.0663723134</v>
      </c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37" t="s">
        <v>755</v>
      </c>
      <c r="B14" s="39"/>
      <c r="C14" s="39"/>
      <c r="D14" s="61" t="n">
        <f aca="false">CF!E38</f>
        <v>0</v>
      </c>
      <c r="E14" s="61" t="n">
        <f aca="false">CF!F38</f>
        <v>0</v>
      </c>
      <c r="F14" s="61" t="n">
        <f aca="false">CF!G38</f>
        <v>0</v>
      </c>
      <c r="G14" s="61" t="n">
        <f aca="false">CF!H38</f>
        <v>0</v>
      </c>
      <c r="H14" s="61" t="n">
        <f aca="false">CF!I38</f>
        <v>0</v>
      </c>
      <c r="I14" s="61" t="n">
        <f aca="false">CF!J38</f>
        <v>0</v>
      </c>
      <c r="J14" s="61" t="n">
        <f aca="false">CF!K38</f>
        <v>0</v>
      </c>
      <c r="K14" s="61" t="n">
        <f aca="false">CF!L38</f>
        <v>0</v>
      </c>
      <c r="L14" s="61" t="n">
        <f aca="false">CF!M38</f>
        <v>0</v>
      </c>
      <c r="M14" s="61" t="n">
        <f aca="false">CF!N38</f>
        <v>0</v>
      </c>
      <c r="N14" s="61" t="n">
        <f aca="false">CF!O38</f>
        <v>0</v>
      </c>
      <c r="O14" s="61" t="n">
        <f aca="false">CF!P38</f>
        <v>0</v>
      </c>
      <c r="P14" s="61" t="n">
        <f aca="false">CF!Q38</f>
        <v>0</v>
      </c>
      <c r="Q14" s="61" t="n">
        <f aca="false">CF!R38</f>
        <v>0</v>
      </c>
      <c r="R14" s="61" t="n">
        <f aca="false">CF!S38</f>
        <v>0</v>
      </c>
      <c r="S14" s="61" t="n">
        <f aca="false">CF!T38</f>
        <v>0</v>
      </c>
      <c r="T14" s="61" t="n">
        <f aca="false">CF!U38</f>
        <v>0</v>
      </c>
      <c r="U14" s="61" t="n">
        <f aca="false">CF!V38</f>
        <v>0</v>
      </c>
      <c r="V14" s="61" t="n">
        <f aca="false">CF!W38</f>
        <v>0</v>
      </c>
      <c r="W14" s="61" t="n">
        <f aca="false">CF!X38</f>
        <v>0</v>
      </c>
      <c r="X14" s="61" t="n">
        <f aca="false">CF!Y38</f>
        <v>0</v>
      </c>
      <c r="Y14" s="304" t="n">
        <f aca="false">SUM(D14:X14)</f>
        <v>0</v>
      </c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37" t="s">
        <v>756</v>
      </c>
      <c r="B15" s="39"/>
      <c r="C15" s="39"/>
      <c r="D15" s="306" t="n">
        <f aca="false">CF!E44</f>
        <v>-0</v>
      </c>
      <c r="E15" s="306" t="n">
        <f aca="false">CF!F44</f>
        <v>-0</v>
      </c>
      <c r="F15" s="306" t="n">
        <f aca="false">CF!G44</f>
        <v>-5267.16686015385</v>
      </c>
      <c r="G15" s="306" t="n">
        <f aca="false">CF!H44</f>
        <v>-6320.60023218462</v>
      </c>
      <c r="H15" s="306" t="n">
        <f aca="false">CF!I44</f>
        <v>-6320.60023218462</v>
      </c>
      <c r="I15" s="306" t="n">
        <f aca="false">CF!J44</f>
        <v>-6320.60023218462</v>
      </c>
      <c r="J15" s="306" t="n">
        <f aca="false">CF!K44</f>
        <v>-6320.60023218462</v>
      </c>
      <c r="K15" s="306" t="n">
        <f aca="false">CF!L44</f>
        <v>-6320.60023218462</v>
      </c>
      <c r="L15" s="306" t="n">
        <f aca="false">CF!M44</f>
        <v>-6320.60023218462</v>
      </c>
      <c r="M15" s="306" t="n">
        <f aca="false">CF!N44</f>
        <v>-6320.60023218462</v>
      </c>
      <c r="N15" s="306" t="n">
        <f aca="false">CF!O44</f>
        <v>-6320.60023218462</v>
      </c>
      <c r="O15" s="306" t="n">
        <f aca="false">CF!P44</f>
        <v>-6320.60023218462</v>
      </c>
      <c r="P15" s="306" t="n">
        <f aca="false">CF!Q44</f>
        <v>-6320.60023218462</v>
      </c>
      <c r="Q15" s="306" t="n">
        <f aca="false">CF!R44</f>
        <v>-6320.60023218462</v>
      </c>
      <c r="R15" s="306" t="n">
        <f aca="false">CF!S44</f>
        <v>-6320.60023218462</v>
      </c>
      <c r="S15" s="306" t="n">
        <f aca="false">CF!T44</f>
        <v>-6320.60023218462</v>
      </c>
      <c r="T15" s="306" t="n">
        <f aca="false">CF!U44</f>
        <v>-6320.60023218462</v>
      </c>
      <c r="U15" s="306" t="n">
        <f aca="false">CF!V44</f>
        <v>-6320.60023218462</v>
      </c>
      <c r="V15" s="306" t="n">
        <f aca="false">CF!W44</f>
        <v>-6320.60023218462</v>
      </c>
      <c r="W15" s="306" t="n">
        <f aca="false">CF!X44</f>
        <v>-6320.60023218462</v>
      </c>
      <c r="X15" s="306" t="n">
        <f aca="false">CF!Y44</f>
        <v>-2106.86674406154</v>
      </c>
      <c r="Y15" s="307" t="n">
        <f aca="false">SUM(D15:X15)</f>
        <v>-114824.237551354</v>
      </c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12.75" hidden="false" customHeight="false" outlineLevel="0" collapsed="false">
      <c r="A16" s="37" t="s">
        <v>757</v>
      </c>
      <c r="B16" s="39"/>
      <c r="C16" s="39"/>
      <c r="D16" s="61" t="n">
        <f aca="false">SUM(D12:D15)</f>
        <v>0</v>
      </c>
      <c r="E16" s="61" t="n">
        <f aca="false">SUM(E12:E15)</f>
        <v>0</v>
      </c>
      <c r="F16" s="61" t="n">
        <f aca="false">SUM(F12:F15)</f>
        <v>1470.8764874668</v>
      </c>
      <c r="G16" s="61" t="n">
        <f aca="false">SUM(G12:G15)</f>
        <v>5782.03975032022</v>
      </c>
      <c r="H16" s="61" t="n">
        <f aca="false">SUM(H12:H15)</f>
        <v>5255.97239118144</v>
      </c>
      <c r="I16" s="61" t="n">
        <f aca="false">SUM(I12:I15)</f>
        <v>6160.5363854139</v>
      </c>
      <c r="J16" s="61" t="n">
        <f aca="false">SUM(J12:J15)</f>
        <v>6943.93842173971</v>
      </c>
      <c r="K16" s="61" t="n">
        <f aca="false">SUM(K12:K15)</f>
        <v>7222.6098715635</v>
      </c>
      <c r="L16" s="61" t="n">
        <f aca="false">SUM(L12:L15)</f>
        <v>7667.3699448778</v>
      </c>
      <c r="M16" s="61" t="n">
        <f aca="false">SUM(M12:M15)</f>
        <v>7865.0726898753</v>
      </c>
      <c r="N16" s="61" t="n">
        <f aca="false">SUM(N12:N15)</f>
        <v>8453.27207552674</v>
      </c>
      <c r="O16" s="61" t="n">
        <f aca="false">SUM(O12:O15)</f>
        <v>8750.40831245557</v>
      </c>
      <c r="P16" s="61" t="n">
        <f aca="false">SUM(P12:P15)</f>
        <v>9225.71547179238</v>
      </c>
      <c r="Q16" s="61" t="n">
        <f aca="false">SUM(Q12:Q15)</f>
        <v>9669.6341883747</v>
      </c>
      <c r="R16" s="61" t="n">
        <f aca="false">SUM(R12:R15)</f>
        <v>8755.71430456183</v>
      </c>
      <c r="S16" s="61" t="n">
        <f aca="false">SUM(S12:S15)</f>
        <v>10314.8468675518</v>
      </c>
      <c r="T16" s="61" t="n">
        <f aca="false">SUM(T12:T15)</f>
        <v>10859.2359090092</v>
      </c>
      <c r="U16" s="61" t="n">
        <f aca="false">SUM(U12:U15)</f>
        <v>11326.0331757595</v>
      </c>
      <c r="V16" s="61" t="n">
        <f aca="false">SUM(V12:V15)</f>
        <v>11769.492203589</v>
      </c>
      <c r="W16" s="61" t="n">
        <f aca="false">SUM(W12:W15)</f>
        <v>12278.6101484947</v>
      </c>
      <c r="X16" s="61" t="n">
        <f aca="false">SUM(X12:X15)</f>
        <v>4026.69081202596</v>
      </c>
      <c r="Y16" s="304" t="n">
        <f aca="false">SUM(D16:X16)</f>
        <v>153798.06941158</v>
      </c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186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875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114" t="s">
        <v>758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298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37" t="s">
        <v>759</v>
      </c>
      <c r="B19" s="39"/>
      <c r="C19" s="39"/>
      <c r="D19" s="61" t="n">
        <f aca="false">CF!E37</f>
        <v>0</v>
      </c>
      <c r="E19" s="61" t="n">
        <f aca="false">CF!F37</f>
        <v>0</v>
      </c>
      <c r="F19" s="61" t="n">
        <f aca="false">CF!G37</f>
        <v>0</v>
      </c>
      <c r="G19" s="61" t="n">
        <f aca="false">CF!H37</f>
        <v>20.8605339355598</v>
      </c>
      <c r="H19" s="61" t="n">
        <f aca="false">CF!I37</f>
        <v>20.8605339355598</v>
      </c>
      <c r="I19" s="61" t="n">
        <f aca="false">CF!J37</f>
        <v>-233.804707553963</v>
      </c>
      <c r="J19" s="61" t="n">
        <f aca="false">CF!K37</f>
        <v>-543.211676432129</v>
      </c>
      <c r="K19" s="61" t="n">
        <f aca="false">CF!L37</f>
        <v>-790.671706495594</v>
      </c>
      <c r="L19" s="61" t="n">
        <f aca="false">CF!M37</f>
        <v>-1056.64185128227</v>
      </c>
      <c r="M19" s="61" t="n">
        <f aca="false">CF!N37</f>
        <v>-1328.02243115698</v>
      </c>
      <c r="N19" s="61" t="n">
        <f aca="false">CF!O37</f>
        <v>-1580.53684347166</v>
      </c>
      <c r="O19" s="61" t="n">
        <f aca="false">CF!P37</f>
        <v>-1625.13900530859</v>
      </c>
      <c r="P19" s="61" t="n">
        <f aca="false">CF!Q37</f>
        <v>-1555.19701036703</v>
      </c>
      <c r="Q19" s="61" t="n">
        <f aca="false">CF!R37</f>
        <v>-1503.27805194341</v>
      </c>
      <c r="R19" s="61" t="n">
        <f aca="false">CF!S37</f>
        <v>-1468.19246913219</v>
      </c>
      <c r="S19" s="61" t="n">
        <f aca="false">CF!T37</f>
        <v>-1269.98860381568</v>
      </c>
      <c r="T19" s="61" t="n">
        <f aca="false">CF!U37</f>
        <v>-1010.93883778636</v>
      </c>
      <c r="U19" s="61" t="n">
        <f aca="false">CF!V37</f>
        <v>-620.683514781294</v>
      </c>
      <c r="V19" s="61" t="n">
        <f aca="false">CF!W37</f>
        <v>31.3545300248106</v>
      </c>
      <c r="W19" s="61" t="n">
        <f aca="false">CF!X37</f>
        <v>492.210816046157</v>
      </c>
      <c r="X19" s="61" t="n">
        <f aca="false">CF!Y37</f>
        <v>269.413609218463</v>
      </c>
      <c r="Y19" s="304" t="n">
        <f aca="false">SUM(D19:X19)</f>
        <v>-13751.6066863666</v>
      </c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12.75" hidden="false" customHeight="false" outlineLevel="0" collapsed="false">
      <c r="A20" s="37" t="s">
        <v>760</v>
      </c>
      <c r="B20" s="39"/>
      <c r="C20" s="39"/>
      <c r="D20" s="61" t="n">
        <f aca="false">CF!E40</f>
        <v>-0</v>
      </c>
      <c r="E20" s="61" t="n">
        <f aca="false">CF!F40</f>
        <v>-0</v>
      </c>
      <c r="F20" s="61" t="n">
        <f aca="false">CF!G40</f>
        <v>-43.5537508168332</v>
      </c>
      <c r="G20" s="61" t="n">
        <f aca="false">CF!H40</f>
        <v>-118.373475078629</v>
      </c>
      <c r="H20" s="61" t="n">
        <f aca="false">CF!I40</f>
        <v>-126.43312991701</v>
      </c>
      <c r="I20" s="61" t="n">
        <f aca="false">CF!J40</f>
        <v>-166.235534803832</v>
      </c>
      <c r="J20" s="61" t="n">
        <f aca="false">CF!K40</f>
        <v>-176.657724457064</v>
      </c>
      <c r="K20" s="61" t="n">
        <f aca="false">CF!L40</f>
        <v>-178.378960525224</v>
      </c>
      <c r="L20" s="61" t="n">
        <f aca="false">CF!M40</f>
        <v>-174.367649933404</v>
      </c>
      <c r="M20" s="61" t="n">
        <f aca="false">CF!N40</f>
        <v>-137.597145896608</v>
      </c>
      <c r="N20" s="61" t="n">
        <f aca="false">CF!O40</f>
        <v>-104.997349038031</v>
      </c>
      <c r="O20" s="61" t="n">
        <f aca="false">CF!P40</f>
        <v>-99.0361098319449</v>
      </c>
      <c r="P20" s="61" t="n">
        <f aca="false">CF!Q40</f>
        <v>-105.699031589067</v>
      </c>
      <c r="Q20" s="61" t="n">
        <f aca="false">CF!R40</f>
        <v>-110.276599757079</v>
      </c>
      <c r="R20" s="61" t="n">
        <f aca="false">CF!S40</f>
        <v>-101.534889098846</v>
      </c>
      <c r="S20" s="61" t="n">
        <f aca="false">CF!T40</f>
        <v>-95.6407335450959</v>
      </c>
      <c r="T20" s="61" t="n">
        <f aca="false">CF!U40</f>
        <v>-63.5016788710533</v>
      </c>
      <c r="U20" s="61" t="n">
        <f aca="false">CF!V40</f>
        <v>-0</v>
      </c>
      <c r="V20" s="61" t="n">
        <f aca="false">CF!W40</f>
        <v>-0</v>
      </c>
      <c r="W20" s="61" t="n">
        <f aca="false">CF!X40</f>
        <v>-0</v>
      </c>
      <c r="X20" s="61" t="n">
        <f aca="false">CF!Y40</f>
        <v>-0</v>
      </c>
      <c r="Y20" s="304" t="n">
        <f aca="false">SUM(D20:X20)</f>
        <v>-1802.28376315972</v>
      </c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.75" hidden="false" customHeight="false" outlineLevel="0" collapsed="false">
      <c r="A21" s="37" t="s">
        <v>761</v>
      </c>
      <c r="B21" s="39"/>
      <c r="C21" s="39"/>
      <c r="D21" s="61" t="n">
        <f aca="false">CF!E47</f>
        <v>-0</v>
      </c>
      <c r="E21" s="61" t="n">
        <f aca="false">CF!F47</f>
        <v>-0</v>
      </c>
      <c r="F21" s="61" t="n">
        <f aca="false">CF!G47</f>
        <v>-3484.30006534666</v>
      </c>
      <c r="G21" s="61" t="n">
        <f aca="false">CF!H47</f>
        <v>-8330.96444278677</v>
      </c>
      <c r="H21" s="61" t="n">
        <f aca="false">CF!I47</f>
        <v>-8183.73683679701</v>
      </c>
      <c r="I21" s="61" t="n">
        <f aca="false">CF!J47</f>
        <v>-7874.92829957685</v>
      </c>
      <c r="J21" s="61" t="n">
        <f aca="false">CF!K47</f>
        <v>-7246.88619934103</v>
      </c>
      <c r="K21" s="61" t="n">
        <f aca="false">CF!L47</f>
        <v>-6469.57071121993</v>
      </c>
      <c r="L21" s="61" t="n">
        <f aca="false">CF!M47</f>
        <v>-5579.15484297768</v>
      </c>
      <c r="M21" s="61" t="n">
        <f aca="false">CF!N47</f>
        <v>-4657.38027414731</v>
      </c>
      <c r="N21" s="61" t="n">
        <f aca="false">CF!O47</f>
        <v>-4069.26227957454</v>
      </c>
      <c r="O21" s="61" t="n">
        <f aca="false">CF!P47</f>
        <v>-3592.36314308763</v>
      </c>
      <c r="P21" s="61" t="n">
        <f aca="false">CF!Q47</f>
        <v>-3115.46400660072</v>
      </c>
      <c r="Q21" s="61" t="n">
        <f aca="false">CF!R47</f>
        <v>-2471.73658298501</v>
      </c>
      <c r="R21" s="61" t="n">
        <f aca="false">CF!S47</f>
        <v>-1772.39973032637</v>
      </c>
      <c r="S21" s="61" t="n">
        <f aca="false">CF!T47</f>
        <v>-1073.06287766773</v>
      </c>
      <c r="T21" s="61" t="n">
        <f aca="false">CF!U47</f>
        <v>-326.687974126908</v>
      </c>
      <c r="U21" s="61" t="n">
        <f aca="false">CF!V47</f>
        <v>-0</v>
      </c>
      <c r="V21" s="61" t="n">
        <f aca="false">CF!W47</f>
        <v>-0</v>
      </c>
      <c r="W21" s="61" t="n">
        <f aca="false">CF!X47</f>
        <v>-0</v>
      </c>
      <c r="X21" s="61" t="n">
        <f aca="false">CF!Y47</f>
        <v>-0</v>
      </c>
      <c r="Y21" s="304" t="n">
        <f aca="false">SUM(D21:X21)</f>
        <v>-68247.8982665621</v>
      </c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2.75" hidden="false" customHeight="false" outlineLevel="0" collapsed="false">
      <c r="A22" s="37" t="s">
        <v>349</v>
      </c>
      <c r="B22" s="39"/>
      <c r="C22" s="39"/>
      <c r="D22" s="61" t="n">
        <f aca="false">CF!E49</f>
        <v>-0</v>
      </c>
      <c r="E22" s="61" t="n">
        <f aca="false">CF!F49</f>
        <v>-0</v>
      </c>
      <c r="F22" s="61" t="n">
        <f aca="false">CF!G49</f>
        <v>-0</v>
      </c>
      <c r="G22" s="61" t="n">
        <f aca="false">CF!H49</f>
        <v>-0</v>
      </c>
      <c r="H22" s="61" t="n">
        <f aca="false">CF!I49</f>
        <v>-0</v>
      </c>
      <c r="I22" s="61" t="n">
        <f aca="false">CF!J49</f>
        <v>-0</v>
      </c>
      <c r="J22" s="61" t="n">
        <f aca="false">CF!K49</f>
        <v>-0</v>
      </c>
      <c r="K22" s="61" t="n">
        <f aca="false">CF!L49</f>
        <v>-0</v>
      </c>
      <c r="L22" s="61" t="n">
        <f aca="false">CF!M49</f>
        <v>-0</v>
      </c>
      <c r="M22" s="61" t="n">
        <f aca="false">CF!N49</f>
        <v>-0</v>
      </c>
      <c r="N22" s="61" t="n">
        <f aca="false">CF!O49</f>
        <v>-0</v>
      </c>
      <c r="O22" s="61" t="n">
        <f aca="false">CF!P49</f>
        <v>-0</v>
      </c>
      <c r="P22" s="61" t="n">
        <f aca="false">CF!Q49</f>
        <v>-0</v>
      </c>
      <c r="Q22" s="61" t="n">
        <f aca="false">CF!R49</f>
        <v>-0</v>
      </c>
      <c r="R22" s="61" t="n">
        <f aca="false">CF!S49</f>
        <v>-0</v>
      </c>
      <c r="S22" s="61" t="n">
        <f aca="false">CF!T49</f>
        <v>-0</v>
      </c>
      <c r="T22" s="61" t="n">
        <f aca="false">CF!U49</f>
        <v>-0</v>
      </c>
      <c r="U22" s="61" t="n">
        <f aca="false">CF!V49</f>
        <v>-0</v>
      </c>
      <c r="V22" s="61" t="n">
        <f aca="false">CF!W49</f>
        <v>-0</v>
      </c>
      <c r="W22" s="61" t="n">
        <f aca="false">CF!X49</f>
        <v>-0</v>
      </c>
      <c r="X22" s="61" t="n">
        <f aca="false">CF!Y49</f>
        <v>-0</v>
      </c>
      <c r="Y22" s="304" t="n">
        <f aca="false">SUM(D22:X22)</f>
        <v>0</v>
      </c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12.75" hidden="false" customHeight="false" outlineLevel="0" collapsed="false">
      <c r="A23" s="37" t="s">
        <v>762</v>
      </c>
      <c r="B23" s="39"/>
      <c r="C23" s="39"/>
      <c r="D23" s="306" t="n">
        <f aca="false">CF!E52</f>
        <v>-0</v>
      </c>
      <c r="E23" s="306" t="n">
        <f aca="false">CF!F52</f>
        <v>-0</v>
      </c>
      <c r="F23" s="306" t="n">
        <f aca="false">CF!G52</f>
        <v>-0</v>
      </c>
      <c r="G23" s="306" t="n">
        <f aca="false">CF!H52</f>
        <v>-0</v>
      </c>
      <c r="H23" s="306" t="n">
        <f aca="false">CF!I52</f>
        <v>-0</v>
      </c>
      <c r="I23" s="306" t="n">
        <f aca="false">CF!J52</f>
        <v>-0</v>
      </c>
      <c r="J23" s="306" t="n">
        <f aca="false">CF!K52</f>
        <v>-0</v>
      </c>
      <c r="K23" s="306" t="n">
        <f aca="false">CF!L52</f>
        <v>-0</v>
      </c>
      <c r="L23" s="306" t="n">
        <f aca="false">CF!M52</f>
        <v>-0</v>
      </c>
      <c r="M23" s="306" t="n">
        <f aca="false">CF!N52</f>
        <v>602.224988102776</v>
      </c>
      <c r="N23" s="306" t="n">
        <f aca="false">CF!O52</f>
        <v>578.460807770804</v>
      </c>
      <c r="O23" s="306" t="n">
        <f aca="false">CF!P52</f>
        <v>464.094572400236</v>
      </c>
      <c r="P23" s="306" t="n">
        <f aca="false">CF!Q52</f>
        <v>260.195765963851</v>
      </c>
      <c r="Q23" s="306" t="n">
        <f aca="false">CF!R52</f>
        <v>-33.4729706022816</v>
      </c>
      <c r="R23" s="306" t="n">
        <f aca="false">CF!S52</f>
        <v>-442.646682586344</v>
      </c>
      <c r="S23" s="306" t="n">
        <f aca="false">CF!T52</f>
        <v>-828.169368941894</v>
      </c>
      <c r="T23" s="306" t="n">
        <f aca="false">CF!U52</f>
        <v>-1370.64012016712</v>
      </c>
      <c r="U23" s="306" t="n">
        <f aca="false">CF!V52</f>
        <v>-1995.82371472347</v>
      </c>
      <c r="V23" s="306" t="n">
        <f aca="false">CF!W52</f>
        <v>-2666.45144290828</v>
      </c>
      <c r="W23" s="306" t="n">
        <f aca="false">CF!X52</f>
        <v>-2913.05128272317</v>
      </c>
      <c r="X23" s="306" t="n">
        <f aca="false">CF!Y52</f>
        <v>-971.017094241057</v>
      </c>
      <c r="Y23" s="307" t="n">
        <f aca="false">SUM(D23:X23)</f>
        <v>-9316.29654265595</v>
      </c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</row>
    <row r="24" customFormat="false" ht="12.75" hidden="false" customHeight="false" outlineLevel="0" collapsed="false">
      <c r="A24" s="37" t="s">
        <v>763</v>
      </c>
      <c r="B24" s="39"/>
      <c r="C24" s="39"/>
      <c r="D24" s="61" t="n">
        <f aca="false">SUM(D19:D23)</f>
        <v>0</v>
      </c>
      <c r="E24" s="61" t="n">
        <f aca="false">SUM(E19:E23)</f>
        <v>0</v>
      </c>
      <c r="F24" s="61" t="n">
        <f aca="false">SUM(F19:F23)</f>
        <v>-3527.85381616349</v>
      </c>
      <c r="G24" s="61" t="n">
        <f aca="false">SUM(G19:G23)</f>
        <v>-8428.47738392984</v>
      </c>
      <c r="H24" s="61" t="n">
        <f aca="false">SUM(H19:H23)</f>
        <v>-8289.30943277846</v>
      </c>
      <c r="I24" s="61" t="n">
        <f aca="false">SUM(I19:I23)</f>
        <v>-8274.96854193465</v>
      </c>
      <c r="J24" s="61" t="n">
        <f aca="false">SUM(J19:J23)</f>
        <v>-7966.75560023023</v>
      </c>
      <c r="K24" s="61" t="n">
        <f aca="false">SUM(K19:K23)</f>
        <v>-7438.62137824075</v>
      </c>
      <c r="L24" s="61" t="n">
        <f aca="false">SUM(L19:L23)</f>
        <v>-6810.16434419336</v>
      </c>
      <c r="M24" s="61" t="n">
        <f aca="false">SUM(M19:M23)</f>
        <v>-5520.77486309812</v>
      </c>
      <c r="N24" s="61" t="n">
        <f aca="false">SUM(N19:N23)</f>
        <v>-5176.33566431343</v>
      </c>
      <c r="O24" s="61" t="n">
        <f aca="false">SUM(O19:O23)</f>
        <v>-4852.44368582792</v>
      </c>
      <c r="P24" s="61" t="n">
        <f aca="false">SUM(P19:P23)</f>
        <v>-4516.16428259297</v>
      </c>
      <c r="Q24" s="61" t="n">
        <f aca="false">SUM(Q19:Q23)</f>
        <v>-4118.76420528778</v>
      </c>
      <c r="R24" s="61" t="n">
        <f aca="false">SUM(R19:R23)</f>
        <v>-3784.77377114375</v>
      </c>
      <c r="S24" s="61" t="n">
        <f aca="false">SUM(S19:S23)</f>
        <v>-3266.8615839704</v>
      </c>
      <c r="T24" s="61" t="n">
        <f aca="false">SUM(T19:T23)</f>
        <v>-2771.76861095145</v>
      </c>
      <c r="U24" s="61" t="n">
        <f aca="false">SUM(U19:U23)</f>
        <v>-2616.50722950476</v>
      </c>
      <c r="V24" s="61" t="n">
        <f aca="false">SUM(V19:V23)</f>
        <v>-2635.09691288347</v>
      </c>
      <c r="W24" s="61" t="n">
        <f aca="false">SUM(W19:W23)</f>
        <v>-2420.84046667701</v>
      </c>
      <c r="X24" s="61" t="n">
        <f aca="false">SUM(X19:X23)</f>
        <v>-701.603485022595</v>
      </c>
      <c r="Y24" s="304" t="n">
        <f aca="false">SUM(D24:X24)</f>
        <v>-93118.0852587444</v>
      </c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</row>
    <row r="25" customFormat="false" ht="12.75" hidden="false" customHeight="false" outlineLevel="0" collapsed="false">
      <c r="A25" s="186"/>
      <c r="B25" s="182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875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12.75" hidden="false" customHeight="false" outlineLevel="0" collapsed="false">
      <c r="A26" s="37" t="s">
        <v>764</v>
      </c>
      <c r="B26" s="39"/>
      <c r="C26" s="39"/>
      <c r="D26" s="61" t="n">
        <f aca="false">SUM(D16,D24)</f>
        <v>0</v>
      </c>
      <c r="E26" s="61" t="n">
        <f aca="false">SUM(E16,E24)</f>
        <v>0</v>
      </c>
      <c r="F26" s="61" t="n">
        <f aca="false">SUM(F16,F24)</f>
        <v>-2056.97732869669</v>
      </c>
      <c r="G26" s="61" t="n">
        <f aca="false">SUM(G16,G24)</f>
        <v>-2646.43763360962</v>
      </c>
      <c r="H26" s="61" t="n">
        <f aca="false">SUM(H16,H24)</f>
        <v>-3033.33704159702</v>
      </c>
      <c r="I26" s="61" t="n">
        <f aca="false">SUM(I16,I24)</f>
        <v>-2114.43215652075</v>
      </c>
      <c r="J26" s="61" t="n">
        <f aca="false">SUM(J16,J24)</f>
        <v>-1022.81717849052</v>
      </c>
      <c r="K26" s="61" t="n">
        <f aca="false">SUM(K16,K24)</f>
        <v>-216.011506677251</v>
      </c>
      <c r="L26" s="61" t="n">
        <f aca="false">SUM(L16,L24)</f>
        <v>857.205600684444</v>
      </c>
      <c r="M26" s="61" t="n">
        <f aca="false">SUM(M16,M24)</f>
        <v>2344.29782677718</v>
      </c>
      <c r="N26" s="61" t="n">
        <f aca="false">SUM(N16,N24)</f>
        <v>3276.93641121331</v>
      </c>
      <c r="O26" s="61" t="n">
        <f aca="false">SUM(O16,O24)</f>
        <v>3897.96462662764</v>
      </c>
      <c r="P26" s="61" t="n">
        <f aca="false">SUM(P16,P24)</f>
        <v>4709.55118919942</v>
      </c>
      <c r="Q26" s="61" t="n">
        <f aca="false">SUM(Q16,Q24)</f>
        <v>5550.86998308692</v>
      </c>
      <c r="R26" s="61" t="n">
        <f aca="false">SUM(R16,R24)</f>
        <v>4970.94053341808</v>
      </c>
      <c r="S26" s="61" t="n">
        <f aca="false">SUM(S16,S24)</f>
        <v>7047.9852835814</v>
      </c>
      <c r="T26" s="61" t="n">
        <f aca="false">SUM(T16,T24)</f>
        <v>8087.46729805778</v>
      </c>
      <c r="U26" s="61" t="n">
        <f aca="false">SUM(U16,U24)</f>
        <v>8709.52594625471</v>
      </c>
      <c r="V26" s="61" t="n">
        <f aca="false">SUM(V16,V24)</f>
        <v>9134.39529070554</v>
      </c>
      <c r="W26" s="61" t="n">
        <f aca="false">SUM(W16,W24)</f>
        <v>9857.76968181769</v>
      </c>
      <c r="X26" s="61" t="n">
        <f aca="false">SUM(X16,X24)</f>
        <v>3325.08732700337</v>
      </c>
      <c r="Y26" s="304" t="n">
        <f aca="false">SUM(D26:X26)</f>
        <v>60679.9841528356</v>
      </c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</row>
    <row r="27" customFormat="false" ht="12.75" hidden="false" customHeight="false" outlineLevel="0" collapsed="false">
      <c r="A27" s="37" t="s">
        <v>765</v>
      </c>
      <c r="B27" s="39"/>
      <c r="C27" s="39"/>
      <c r="D27" s="306" t="n">
        <f aca="false">IF(D24&lt;0,0,-D24)</f>
        <v>-0</v>
      </c>
      <c r="E27" s="306" t="n">
        <f aca="false">IF(E24&lt;0,0,-E24)</f>
        <v>-0</v>
      </c>
      <c r="F27" s="306" t="n">
        <f aca="false">IF(F24&lt;0,0,-F24)</f>
        <v>0</v>
      </c>
      <c r="G27" s="306" t="n">
        <f aca="false">IF(G24&lt;0,0,-G24)</f>
        <v>0</v>
      </c>
      <c r="H27" s="306" t="n">
        <f aca="false">IF(H24&lt;0,0,-H24)</f>
        <v>0</v>
      </c>
      <c r="I27" s="306" t="n">
        <f aca="false">IF(I24&lt;0,0,-I24)</f>
        <v>0</v>
      </c>
      <c r="J27" s="306" t="n">
        <f aca="false">IF(J24&lt;0,0,-J24)</f>
        <v>0</v>
      </c>
      <c r="K27" s="306" t="n">
        <f aca="false">IF(K24&lt;0,0,-K24)</f>
        <v>0</v>
      </c>
      <c r="L27" s="306" t="n">
        <f aca="false">IF(L24&lt;0,0,-L24)</f>
        <v>0</v>
      </c>
      <c r="M27" s="306" t="n">
        <f aca="false">IF(M24&lt;0,0,-M24)</f>
        <v>0</v>
      </c>
      <c r="N27" s="306" t="n">
        <f aca="false">IF(N24&lt;0,0,-N24)</f>
        <v>0</v>
      </c>
      <c r="O27" s="306" t="n">
        <f aca="false">IF(O24&lt;0,0,-O24)</f>
        <v>0</v>
      </c>
      <c r="P27" s="306" t="n">
        <f aca="false">IF(P24&lt;0,0,-P24)</f>
        <v>0</v>
      </c>
      <c r="Q27" s="306" t="n">
        <f aca="false">IF(Q24&lt;0,0,-Q24)</f>
        <v>0</v>
      </c>
      <c r="R27" s="306" t="n">
        <f aca="false">IF(R24&lt;0,0,-R24)</f>
        <v>0</v>
      </c>
      <c r="S27" s="306" t="n">
        <f aca="false">IF(S24&lt;0,0,-S24)</f>
        <v>0</v>
      </c>
      <c r="T27" s="306" t="n">
        <f aca="false">IF(T24&lt;0,0,-T24)</f>
        <v>0</v>
      </c>
      <c r="U27" s="306" t="n">
        <f aca="false">IF(U24&lt;0,0,-U24)</f>
        <v>0</v>
      </c>
      <c r="V27" s="306" t="n">
        <f aca="false">IF(V24&lt;0,0,-V24)</f>
        <v>0</v>
      </c>
      <c r="W27" s="306" t="n">
        <f aca="false">IF(W24&lt;0,0,-W24)</f>
        <v>0</v>
      </c>
      <c r="X27" s="306" t="n">
        <f aca="false">IF(X24&lt;0,0,-X24)</f>
        <v>0</v>
      </c>
      <c r="Y27" s="307" t="n">
        <f aca="false">SUM(D27:X27)</f>
        <v>0</v>
      </c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</row>
    <row r="28" customFormat="false" ht="12.75" hidden="false" customHeight="false" outlineLevel="0" collapsed="false">
      <c r="A28" s="37" t="s">
        <v>766</v>
      </c>
      <c r="B28" s="39"/>
      <c r="C28" s="39"/>
      <c r="D28" s="61" t="n">
        <f aca="false">SUM(D26:D27)</f>
        <v>0</v>
      </c>
      <c r="E28" s="61" t="n">
        <f aca="false">SUM(E26:E27)</f>
        <v>0</v>
      </c>
      <c r="F28" s="61" t="n">
        <f aca="false">SUM(F26:F27)</f>
        <v>-2056.97732869669</v>
      </c>
      <c r="G28" s="61" t="n">
        <f aca="false">SUM(G26:G27)</f>
        <v>-2646.43763360962</v>
      </c>
      <c r="H28" s="61" t="n">
        <f aca="false">SUM(H26:H27)</f>
        <v>-3033.33704159702</v>
      </c>
      <c r="I28" s="61" t="n">
        <f aca="false">SUM(I26:I27)</f>
        <v>-2114.43215652075</v>
      </c>
      <c r="J28" s="61" t="n">
        <f aca="false">SUM(J26:J27)</f>
        <v>-1022.81717849052</v>
      </c>
      <c r="K28" s="61" t="n">
        <f aca="false">SUM(K26:K27)</f>
        <v>-216.011506677251</v>
      </c>
      <c r="L28" s="61" t="n">
        <f aca="false">SUM(L26:L27)</f>
        <v>857.205600684444</v>
      </c>
      <c r="M28" s="61" t="n">
        <f aca="false">SUM(M26:M27)</f>
        <v>2344.29782677718</v>
      </c>
      <c r="N28" s="61" t="n">
        <f aca="false">SUM(N26:N27)</f>
        <v>3276.93641121331</v>
      </c>
      <c r="O28" s="61" t="n">
        <f aca="false">SUM(O26:O27)</f>
        <v>3897.96462662764</v>
      </c>
      <c r="P28" s="61" t="n">
        <f aca="false">SUM(P26:P27)</f>
        <v>4709.55118919942</v>
      </c>
      <c r="Q28" s="61" t="n">
        <f aca="false">SUM(Q26:Q27)</f>
        <v>5550.86998308692</v>
      </c>
      <c r="R28" s="61" t="n">
        <f aca="false">SUM(R26:R27)</f>
        <v>4970.94053341808</v>
      </c>
      <c r="S28" s="61" t="n">
        <f aca="false">SUM(S26:S27)</f>
        <v>7047.9852835814</v>
      </c>
      <c r="T28" s="61" t="n">
        <f aca="false">SUM(T26:T27)</f>
        <v>8087.46729805778</v>
      </c>
      <c r="U28" s="61" t="n">
        <f aca="false">SUM(U26:U27)</f>
        <v>8709.52594625471</v>
      </c>
      <c r="V28" s="61" t="n">
        <f aca="false">SUM(V26:V27)</f>
        <v>9134.39529070554</v>
      </c>
      <c r="W28" s="61" t="n">
        <f aca="false">SUM(W26:W27)</f>
        <v>9857.76968181769</v>
      </c>
      <c r="X28" s="61" t="n">
        <f aca="false">SUM(X26:X27)</f>
        <v>3325.08732700337</v>
      </c>
      <c r="Y28" s="304" t="n">
        <f aca="false">SUM(D28:X28)</f>
        <v>60679.9841528356</v>
      </c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</row>
    <row r="29" customFormat="false" ht="12.75" hidden="false" customHeight="false" outlineLevel="0" collapsed="false">
      <c r="A29" s="186"/>
      <c r="B29" s="182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875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</row>
    <row r="30" customFormat="false" ht="12.75" hidden="false" customHeight="false" outlineLevel="0" collapsed="false">
      <c r="A30" s="303" t="s">
        <v>54</v>
      </c>
      <c r="B30" s="39"/>
      <c r="C30" s="39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R30" s="368"/>
      <c r="S30" s="368"/>
      <c r="T30" s="368"/>
      <c r="U30" s="368"/>
      <c r="V30" s="368"/>
      <c r="W30" s="368"/>
      <c r="X30" s="368"/>
      <c r="Y30" s="418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</row>
    <row r="31" customFormat="false" ht="12.75" hidden="false" customHeight="false" outlineLevel="0" collapsed="false">
      <c r="A31" s="37" t="s">
        <v>767</v>
      </c>
      <c r="B31" s="39"/>
      <c r="C31" s="39"/>
      <c r="D31" s="61" t="n">
        <f aca="false">IF(D$28&lt;0,0,D$28)</f>
        <v>0</v>
      </c>
      <c r="E31" s="61" t="n">
        <f aca="false">IF(E$28&lt;0,0,E$28)</f>
        <v>0</v>
      </c>
      <c r="F31" s="61" t="n">
        <f aca="false">IF(F$28&lt;0,0,F$28)</f>
        <v>0</v>
      </c>
      <c r="G31" s="61" t="n">
        <f aca="false">IF(G$28&lt;0,0,G$28)</f>
        <v>0</v>
      </c>
      <c r="H31" s="61" t="n">
        <f aca="false">IF(H$28&lt;0,0,H$28)</f>
        <v>0</v>
      </c>
      <c r="I31" s="61" t="n">
        <f aca="false">IF(I$28&lt;0,0,I$28)</f>
        <v>0</v>
      </c>
      <c r="J31" s="61" t="n">
        <f aca="false">IF(J$28&lt;0,0,J$28)</f>
        <v>0</v>
      </c>
      <c r="K31" s="61" t="n">
        <f aca="false">IF(K$28&lt;0,0,K$28)</f>
        <v>0</v>
      </c>
      <c r="L31" s="61" t="n">
        <f aca="false">IF(L$28&lt;0,0,L$28)</f>
        <v>857.205600684444</v>
      </c>
      <c r="M31" s="61" t="n">
        <f aca="false">IF(M$28&lt;0,0,M$28)</f>
        <v>2344.29782677718</v>
      </c>
      <c r="N31" s="61" t="n">
        <f aca="false">IF(N$28&lt;0,0,N$28)</f>
        <v>3276.93641121331</v>
      </c>
      <c r="O31" s="61" t="n">
        <f aca="false">IF(O$28&lt;0,0,O$28)</f>
        <v>3897.96462662764</v>
      </c>
      <c r="P31" s="61" t="n">
        <f aca="false">IF(P$28&lt;0,0,P$28)</f>
        <v>4709.55118919942</v>
      </c>
      <c r="Q31" s="61" t="n">
        <f aca="false">IF(Q$28&lt;0,0,Q$28)</f>
        <v>5550.86998308692</v>
      </c>
      <c r="R31" s="61" t="n">
        <f aca="false">IF(R$28&lt;0,0,R$28)</f>
        <v>4970.94053341808</v>
      </c>
      <c r="S31" s="61" t="n">
        <f aca="false">IF(S$28&lt;0,0,S$28)</f>
        <v>7047.9852835814</v>
      </c>
      <c r="T31" s="61" t="n">
        <f aca="false">IF(T$28&lt;0,0,T$28)</f>
        <v>8087.46729805778</v>
      </c>
      <c r="U31" s="61" t="n">
        <f aca="false">IF(U$28&lt;0,0,U$28)</f>
        <v>8709.52594625471</v>
      </c>
      <c r="V31" s="61" t="n">
        <f aca="false">IF(V$28&lt;0,0,V$28)</f>
        <v>9134.39529070554</v>
      </c>
      <c r="W31" s="61" t="n">
        <f aca="false">IF(W$28&lt;0,0,W$28)</f>
        <v>9857.76968181769</v>
      </c>
      <c r="X31" s="61" t="n">
        <f aca="false">IF(X$28&lt;0,0,X$28)</f>
        <v>3325.08732700337</v>
      </c>
      <c r="Y31" s="304" t="n">
        <f aca="false">SUM(D31:X31)</f>
        <v>71769.9969984275</v>
      </c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</row>
    <row r="32" customFormat="false" ht="12.75" hidden="false" customHeight="false" outlineLevel="0" collapsed="false">
      <c r="A32" s="37" t="s">
        <v>768</v>
      </c>
      <c r="B32" s="39"/>
      <c r="C32" s="39"/>
      <c r="D32" s="519" t="n">
        <f aca="false">Tax</f>
        <v>0.15</v>
      </c>
      <c r="E32" s="519" t="n">
        <f aca="false">Tax</f>
        <v>0.15</v>
      </c>
      <c r="F32" s="519" t="n">
        <f aca="false">Tax</f>
        <v>0.15</v>
      </c>
      <c r="G32" s="519" t="n">
        <f aca="false">Tax</f>
        <v>0.15</v>
      </c>
      <c r="H32" s="519" t="n">
        <f aca="false">Tax</f>
        <v>0.15</v>
      </c>
      <c r="I32" s="519" t="n">
        <f aca="false">Tax</f>
        <v>0.15</v>
      </c>
      <c r="J32" s="519" t="n">
        <f aca="false">Tax</f>
        <v>0.15</v>
      </c>
      <c r="K32" s="519" t="n">
        <f aca="false">Tax</f>
        <v>0.15</v>
      </c>
      <c r="L32" s="519" t="n">
        <f aca="false">Tax</f>
        <v>0.15</v>
      </c>
      <c r="M32" s="519" t="n">
        <f aca="false">Tax</f>
        <v>0.15</v>
      </c>
      <c r="N32" s="519" t="n">
        <f aca="false">Tax</f>
        <v>0.15</v>
      </c>
      <c r="O32" s="519" t="n">
        <f aca="false">Tax</f>
        <v>0.15</v>
      </c>
      <c r="P32" s="519" t="n">
        <f aca="false">Tax</f>
        <v>0.15</v>
      </c>
      <c r="Q32" s="519" t="n">
        <f aca="false">Tax</f>
        <v>0.15</v>
      </c>
      <c r="R32" s="519" t="n">
        <f aca="false">Tax</f>
        <v>0.15</v>
      </c>
      <c r="S32" s="519" t="n">
        <f aca="false">Tax</f>
        <v>0.15</v>
      </c>
      <c r="T32" s="519" t="n">
        <f aca="false">Tax</f>
        <v>0.15</v>
      </c>
      <c r="U32" s="519" t="n">
        <f aca="false">Tax</f>
        <v>0.15</v>
      </c>
      <c r="V32" s="519" t="n">
        <f aca="false">Tax</f>
        <v>0.15</v>
      </c>
      <c r="W32" s="519" t="n">
        <f aca="false">Tax</f>
        <v>0.15</v>
      </c>
      <c r="X32" s="519" t="n">
        <f aca="false">Tax</f>
        <v>0.15</v>
      </c>
      <c r="Y32" s="418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</row>
    <row r="33" customFormat="false" ht="12.75" hidden="false" customHeight="false" outlineLevel="0" collapsed="false">
      <c r="A33" s="37" t="s">
        <v>769</v>
      </c>
      <c r="B33" s="39"/>
      <c r="C33" s="39"/>
      <c r="D33" s="61" t="n">
        <f aca="false">D32*D31</f>
        <v>0</v>
      </c>
      <c r="E33" s="61" t="n">
        <f aca="false">E32*E31</f>
        <v>0</v>
      </c>
      <c r="F33" s="61" t="n">
        <f aca="false">F32*F31</f>
        <v>0</v>
      </c>
      <c r="G33" s="61" t="n">
        <f aca="false">G32*G31</f>
        <v>0</v>
      </c>
      <c r="H33" s="61" t="n">
        <f aca="false">H32*H31</f>
        <v>0</v>
      </c>
      <c r="I33" s="61" t="n">
        <f aca="false">I32*I31</f>
        <v>0</v>
      </c>
      <c r="J33" s="61" t="n">
        <f aca="false">J32*J31</f>
        <v>0</v>
      </c>
      <c r="K33" s="61" t="n">
        <f aca="false">K32*K31</f>
        <v>0</v>
      </c>
      <c r="L33" s="61" t="n">
        <f aca="false">L32*L31</f>
        <v>128.580840102667</v>
      </c>
      <c r="M33" s="61" t="n">
        <f aca="false">M32*M31</f>
        <v>351.644674016577</v>
      </c>
      <c r="N33" s="61" t="n">
        <f aca="false">N32*N31</f>
        <v>491.540461681996</v>
      </c>
      <c r="O33" s="61" t="n">
        <f aca="false">O32*O31</f>
        <v>584.694693994146</v>
      </c>
      <c r="P33" s="61" t="n">
        <f aca="false">P32*P31</f>
        <v>706.432678379913</v>
      </c>
      <c r="Q33" s="61" t="n">
        <f aca="false">Q32*Q31</f>
        <v>832.630497463038</v>
      </c>
      <c r="R33" s="61" t="n">
        <f aca="false">R32*R31</f>
        <v>745.641080012711</v>
      </c>
      <c r="S33" s="61" t="n">
        <f aca="false">S32*S31</f>
        <v>1057.19779253721</v>
      </c>
      <c r="T33" s="61" t="n">
        <f aca="false">T32*T31</f>
        <v>1213.12009470867</v>
      </c>
      <c r="U33" s="61" t="n">
        <f aca="false">U32*U31</f>
        <v>1306.42889193821</v>
      </c>
      <c r="V33" s="61" t="n">
        <f aca="false">V32*V31</f>
        <v>1370.15929360583</v>
      </c>
      <c r="W33" s="61" t="n">
        <f aca="false">W32*W31</f>
        <v>1478.66545227265</v>
      </c>
      <c r="X33" s="61" t="n">
        <f aca="false">X32*X31</f>
        <v>498.763099050505</v>
      </c>
      <c r="Y33" s="304" t="n">
        <f aca="false">SUM(D33:X33)</f>
        <v>10765.4995497641</v>
      </c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</row>
    <row r="34" customFormat="false" ht="12.75" hidden="false" customHeight="false" outlineLevel="0" collapsed="false">
      <c r="A34" s="37"/>
      <c r="B34" s="39"/>
      <c r="C34" s="39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418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2.75" hidden="false" customHeight="false" outlineLevel="0" collapsed="false">
      <c r="A35" s="303" t="s">
        <v>59</v>
      </c>
      <c r="B35" s="39"/>
      <c r="C35" s="39"/>
      <c r="D35" s="368"/>
      <c r="E35" s="368"/>
      <c r="F35" s="368"/>
      <c r="G35" s="368"/>
      <c r="H35" s="368"/>
      <c r="I35" s="368"/>
      <c r="J35" s="368"/>
      <c r="K35" s="368"/>
      <c r="L35" s="368"/>
      <c r="M35" s="368"/>
      <c r="N35" s="368"/>
      <c r="O35" s="368"/>
      <c r="P35" s="368"/>
      <c r="Q35" s="368"/>
      <c r="R35" s="368"/>
      <c r="S35" s="368"/>
      <c r="T35" s="368"/>
      <c r="U35" s="368"/>
      <c r="V35" s="368"/>
      <c r="W35" s="368"/>
      <c r="X35" s="368"/>
      <c r="Y35" s="418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</row>
    <row r="36" customFormat="false" ht="12.75" hidden="false" customHeight="false" outlineLevel="0" collapsed="false">
      <c r="A36" s="37" t="s">
        <v>767</v>
      </c>
      <c r="B36" s="39"/>
      <c r="C36" s="39"/>
      <c r="D36" s="61" t="n">
        <f aca="false">IF(D$28&lt;0,0,D$28)</f>
        <v>0</v>
      </c>
      <c r="E36" s="61" t="n">
        <f aca="false">IF(E$28&lt;0,0,E$28)</f>
        <v>0</v>
      </c>
      <c r="F36" s="61" t="n">
        <f aca="false">IF(F$28&lt;0,0,F$28)</f>
        <v>0</v>
      </c>
      <c r="G36" s="61" t="n">
        <f aca="false">IF(G$28&lt;0,0,G$28)</f>
        <v>0</v>
      </c>
      <c r="H36" s="61" t="n">
        <f aca="false">IF(H$28&lt;0,0,H$28)</f>
        <v>0</v>
      </c>
      <c r="I36" s="61" t="n">
        <f aca="false">IF(I$28&lt;0,0,I$28)</f>
        <v>0</v>
      </c>
      <c r="J36" s="61" t="n">
        <f aca="false">IF(J$28&lt;0,0,J$28)</f>
        <v>0</v>
      </c>
      <c r="K36" s="61" t="n">
        <f aca="false">IF(K$28&lt;0,0,K$28)</f>
        <v>0</v>
      </c>
      <c r="L36" s="61" t="n">
        <f aca="false">IF(L$28&lt;0,0,L$28)</f>
        <v>857.205600684444</v>
      </c>
      <c r="M36" s="61" t="n">
        <f aca="false">IF(M$28&lt;0,0,M$28)</f>
        <v>2344.29782677718</v>
      </c>
      <c r="N36" s="61" t="n">
        <f aca="false">IF(N$28&lt;0,0,N$28)</f>
        <v>3276.93641121331</v>
      </c>
      <c r="O36" s="61" t="n">
        <f aca="false">IF(O$28&lt;0,0,O$28)</f>
        <v>3897.96462662764</v>
      </c>
      <c r="P36" s="61" t="n">
        <f aca="false">IF(P$28&lt;0,0,P$28)</f>
        <v>4709.55118919942</v>
      </c>
      <c r="Q36" s="61" t="n">
        <f aca="false">IF(Q$28&lt;0,0,Q$28)</f>
        <v>5550.86998308692</v>
      </c>
      <c r="R36" s="61" t="n">
        <f aca="false">IF(R$28&lt;0,0,R$28)</f>
        <v>4970.94053341808</v>
      </c>
      <c r="S36" s="61" t="n">
        <f aca="false">IF(S$28&lt;0,0,S$28)</f>
        <v>7047.9852835814</v>
      </c>
      <c r="T36" s="61" t="n">
        <f aca="false">IF(T$28&lt;0,0,T$28)</f>
        <v>8087.46729805778</v>
      </c>
      <c r="U36" s="61" t="n">
        <f aca="false">IF(U$28&lt;0,0,U$28)</f>
        <v>8709.52594625471</v>
      </c>
      <c r="V36" s="61" t="n">
        <f aca="false">IF(V$28&lt;0,0,V$28)</f>
        <v>9134.39529070554</v>
      </c>
      <c r="W36" s="61" t="n">
        <f aca="false">IF(W$28&lt;0,0,W$28)</f>
        <v>9857.76968181769</v>
      </c>
      <c r="X36" s="61" t="n">
        <f aca="false">IF(X$28&lt;0,0,X$28)</f>
        <v>3325.08732700337</v>
      </c>
      <c r="Y36" s="304" t="n">
        <f aca="false">SUM(D36:X36)</f>
        <v>71769.9969984275</v>
      </c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</row>
    <row r="37" customFormat="false" ht="12.75" hidden="false" customHeight="false" outlineLevel="0" collapsed="false">
      <c r="A37" s="37" t="s">
        <v>770</v>
      </c>
      <c r="B37" s="39"/>
      <c r="C37" s="39"/>
      <c r="D37" s="306" t="n">
        <f aca="false">IF(D36&lt;=Assm!$L$9/CF!E$13,0,-Assm!$L$9/CF!E$13*D$9/12)</f>
        <v>0</v>
      </c>
      <c r="E37" s="306" t="n">
        <f aca="false">IF(E36&lt;=Assm!$L$9/CF!F$13,0,-Assm!$L$9/CF!F$13*E$9/12)</f>
        <v>0</v>
      </c>
      <c r="F37" s="306" t="n">
        <f aca="false">IF(F36&lt;=Assm!$L$9/CF!G$13,0,-Assm!$L$9/CF!G$13*F$9/12)</f>
        <v>0</v>
      </c>
      <c r="G37" s="306" t="n">
        <f aca="false">IF(G36&lt;=Assm!$L$9/CF!H$13,0,-Assm!$L$9/CF!H$13*G$9/12)</f>
        <v>0</v>
      </c>
      <c r="H37" s="306" t="n">
        <f aca="false">IF(H36&lt;=Assm!$L$9/CF!I$13,0,-Assm!$L$9/CF!I$13*H$9/12)</f>
        <v>0</v>
      </c>
      <c r="I37" s="306" t="n">
        <f aca="false">IF(I36&lt;=Assm!$L$9/CF!J$13,0,-Assm!$L$9/CF!J$13*I$9/12)</f>
        <v>0</v>
      </c>
      <c r="J37" s="306" t="n">
        <f aca="false">IF(J36&lt;=Assm!$L$9/CF!K$13,0,-Assm!$L$9/CF!K$13*J$9/12)</f>
        <v>0</v>
      </c>
      <c r="K37" s="306" t="n">
        <f aca="false">IF(K36&lt;=Assm!$L$9/CF!L$13,0,-Assm!$L$9/CF!L$13*K$9/12)</f>
        <v>0</v>
      </c>
      <c r="L37" s="306" t="n">
        <f aca="false">IF(L36&lt;=Assm!$L$9/CF!M$13,0,-Assm!$L$9/CF!M$13*L$9/12)</f>
        <v>-225.352112676056</v>
      </c>
      <c r="M37" s="306" t="n">
        <f aca="false">IF(M36&lt;=Assm!$L$9/CF!N$13,0,-Assm!$L$9/CF!N$13*M$9/12)</f>
        <v>-225.352112676056</v>
      </c>
      <c r="N37" s="306" t="n">
        <f aca="false">IF(N36&lt;=Assm!$L$9/CF!O$13,0,-Assm!$L$9/CF!O$13*N$9/12)</f>
        <v>-225.352112676056</v>
      </c>
      <c r="O37" s="306" t="n">
        <f aca="false">IF(O36&lt;=Assm!$L$9/CF!P$13,0,-Assm!$L$9/CF!P$13*O$9/12)</f>
        <v>-225.352112676056</v>
      </c>
      <c r="P37" s="306" t="n">
        <f aca="false">IF(P36&lt;=Assm!$L$9/CF!Q$13,0,-Assm!$L$9/CF!Q$13*P$9/12)</f>
        <v>-225.352112676056</v>
      </c>
      <c r="Q37" s="306" t="n">
        <f aca="false">IF(Q36&lt;=Assm!$L$9/CF!R$13,0,-Assm!$L$9/CF!R$13*Q$9/12)</f>
        <v>-225.352112676056</v>
      </c>
      <c r="R37" s="306" t="n">
        <f aca="false">IF(R36&lt;=Assm!$L$9/CF!S$13,0,-Assm!$L$9/CF!S$13*R$9/12)</f>
        <v>-225.352112676056</v>
      </c>
      <c r="S37" s="306" t="n">
        <f aca="false">IF(S36&lt;=Assm!$L$9/CF!T$13,0,-Assm!$L$9/CF!T$13*S$9/12)</f>
        <v>-225.352112676056</v>
      </c>
      <c r="T37" s="306" t="n">
        <f aca="false">IF(T36&lt;=Assm!$L$9/CF!U$13,0,-Assm!$L$9/CF!U$13*T$9/12)</f>
        <v>-225.352112676056</v>
      </c>
      <c r="U37" s="306" t="n">
        <f aca="false">IF(U36&lt;=Assm!$L$9/CF!V$13,0,-Assm!$L$9/CF!V$13*U$9/12)</f>
        <v>-225.352112676056</v>
      </c>
      <c r="V37" s="306" t="n">
        <f aca="false">IF(V36&lt;=Assm!$L$9/CF!W$13,0,-Assm!$L$9/CF!W$13*V$9/12)</f>
        <v>-225.352112676056</v>
      </c>
      <c r="W37" s="306" t="n">
        <f aca="false">IF(W36&lt;=Assm!$L$9/CF!X$13,0,-Assm!$L$9/CF!X$13*W$9/12)</f>
        <v>-225.352112676056</v>
      </c>
      <c r="X37" s="306" t="n">
        <f aca="false">IF(X36&lt;=Assm!$L$9/CF!Y$13,0,-Assm!$L$9/CF!Y$13*X$9/12)</f>
        <v>-75.1173708920188</v>
      </c>
      <c r="Y37" s="307" t="n">
        <f aca="false">SUM(D37:X37)</f>
        <v>-2779.3427230047</v>
      </c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</row>
    <row r="38" customFormat="false" ht="12.75" hidden="false" customHeight="false" outlineLevel="0" collapsed="false">
      <c r="A38" s="37" t="s">
        <v>771</v>
      </c>
      <c r="B38" s="39"/>
      <c r="C38" s="39"/>
      <c r="D38" s="61" t="n">
        <f aca="false">SUM(D36:D37)</f>
        <v>0</v>
      </c>
      <c r="E38" s="61" t="n">
        <f aca="false">SUM(E36:E37)</f>
        <v>0</v>
      </c>
      <c r="F38" s="61" t="n">
        <f aca="false">SUM(F36:F37)</f>
        <v>0</v>
      </c>
      <c r="G38" s="61" t="n">
        <f aca="false">SUM(G36:G37)</f>
        <v>0</v>
      </c>
      <c r="H38" s="61" t="n">
        <f aca="false">SUM(H36:H37)</f>
        <v>0</v>
      </c>
      <c r="I38" s="61" t="n">
        <f aca="false">SUM(I36:I37)</f>
        <v>0</v>
      </c>
      <c r="J38" s="61" t="n">
        <f aca="false">SUM(J36:J37)</f>
        <v>0</v>
      </c>
      <c r="K38" s="61" t="n">
        <f aca="false">SUM(K36:K37)</f>
        <v>0</v>
      </c>
      <c r="L38" s="61" t="n">
        <f aca="false">SUM(L36:L37)</f>
        <v>631.853488008388</v>
      </c>
      <c r="M38" s="61" t="n">
        <f aca="false">SUM(M36:M37)</f>
        <v>2118.94571410113</v>
      </c>
      <c r="N38" s="61" t="n">
        <f aca="false">SUM(N36:N37)</f>
        <v>3051.58429853725</v>
      </c>
      <c r="O38" s="61" t="n">
        <f aca="false">SUM(O36:O37)</f>
        <v>3672.61251395159</v>
      </c>
      <c r="P38" s="61" t="n">
        <f aca="false">SUM(P36:P37)</f>
        <v>4484.19907652336</v>
      </c>
      <c r="Q38" s="61" t="n">
        <f aca="false">SUM(Q36:Q37)</f>
        <v>5325.51787041086</v>
      </c>
      <c r="R38" s="61" t="n">
        <f aca="false">SUM(R36:R37)</f>
        <v>4745.58842074202</v>
      </c>
      <c r="S38" s="61" t="n">
        <f aca="false">SUM(S36:S37)</f>
        <v>6822.63317090534</v>
      </c>
      <c r="T38" s="61" t="n">
        <f aca="false">SUM(T36:T37)</f>
        <v>7862.11518538173</v>
      </c>
      <c r="U38" s="61" t="n">
        <f aca="false">SUM(U36:U37)</f>
        <v>8484.17383357865</v>
      </c>
      <c r="V38" s="61" t="n">
        <f aca="false">SUM(V36:V37)</f>
        <v>8909.04317802948</v>
      </c>
      <c r="W38" s="61" t="n">
        <f aca="false">SUM(W36:W37)</f>
        <v>9632.41756914163</v>
      </c>
      <c r="X38" s="61" t="n">
        <f aca="false">SUM(X36:X37)</f>
        <v>3249.96995611135</v>
      </c>
      <c r="Y38" s="304" t="n">
        <f aca="false">SUM(D38:X38)</f>
        <v>68990.6542754228</v>
      </c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</row>
    <row r="39" customFormat="false" ht="12.75" hidden="false" customHeight="false" outlineLevel="0" collapsed="false">
      <c r="A39" s="37" t="s">
        <v>772</v>
      </c>
      <c r="B39" s="39"/>
      <c r="C39" s="39"/>
      <c r="D39" s="519" t="n">
        <f aca="false">Add_Tax</f>
        <v>0.1</v>
      </c>
      <c r="E39" s="519" t="n">
        <f aca="false">Add_Tax</f>
        <v>0.1</v>
      </c>
      <c r="F39" s="519" t="n">
        <f aca="false">Add_Tax</f>
        <v>0.1</v>
      </c>
      <c r="G39" s="519" t="n">
        <f aca="false">Add_Tax</f>
        <v>0.1</v>
      </c>
      <c r="H39" s="519" t="n">
        <f aca="false">Add_Tax</f>
        <v>0.1</v>
      </c>
      <c r="I39" s="519" t="n">
        <f aca="false">Add_Tax</f>
        <v>0.1</v>
      </c>
      <c r="J39" s="519" t="n">
        <f aca="false">Add_Tax</f>
        <v>0.1</v>
      </c>
      <c r="K39" s="519" t="n">
        <f aca="false">Add_Tax</f>
        <v>0.1</v>
      </c>
      <c r="L39" s="519" t="n">
        <f aca="false">Add_Tax</f>
        <v>0.1</v>
      </c>
      <c r="M39" s="519" t="n">
        <f aca="false">Add_Tax</f>
        <v>0.1</v>
      </c>
      <c r="N39" s="519" t="n">
        <f aca="false">Add_Tax</f>
        <v>0.1</v>
      </c>
      <c r="O39" s="519" t="n">
        <f aca="false">Add_Tax</f>
        <v>0.1</v>
      </c>
      <c r="P39" s="519" t="n">
        <f aca="false">Add_Tax</f>
        <v>0.1</v>
      </c>
      <c r="Q39" s="519" t="n">
        <f aca="false">Add_Tax</f>
        <v>0.1</v>
      </c>
      <c r="R39" s="519" t="n">
        <f aca="false">Add_Tax</f>
        <v>0.1</v>
      </c>
      <c r="S39" s="519" t="n">
        <f aca="false">Add_Tax</f>
        <v>0.1</v>
      </c>
      <c r="T39" s="519" t="n">
        <f aca="false">Add_Tax</f>
        <v>0.1</v>
      </c>
      <c r="U39" s="519" t="n">
        <f aca="false">Add_Tax</f>
        <v>0.1</v>
      </c>
      <c r="V39" s="519" t="n">
        <f aca="false">Add_Tax</f>
        <v>0.1</v>
      </c>
      <c r="W39" s="519" t="n">
        <f aca="false">Add_Tax</f>
        <v>0.1</v>
      </c>
      <c r="X39" s="519" t="n">
        <f aca="false">Add_Tax</f>
        <v>0.1</v>
      </c>
      <c r="Y39" s="418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</row>
    <row r="40" customFormat="false" ht="12.75" hidden="false" customHeight="false" outlineLevel="0" collapsed="false">
      <c r="A40" s="37" t="s">
        <v>773</v>
      </c>
      <c r="B40" s="39"/>
      <c r="C40" s="39"/>
      <c r="D40" s="61" t="n">
        <f aca="false">D39*D38</f>
        <v>0</v>
      </c>
      <c r="E40" s="61" t="n">
        <f aca="false">E39*E38</f>
        <v>0</v>
      </c>
      <c r="F40" s="61" t="n">
        <f aca="false">F39*F38</f>
        <v>0</v>
      </c>
      <c r="G40" s="61" t="n">
        <f aca="false">G39*G38</f>
        <v>0</v>
      </c>
      <c r="H40" s="61" t="n">
        <f aca="false">H39*H38</f>
        <v>0</v>
      </c>
      <c r="I40" s="61" t="n">
        <f aca="false">I39*I38</f>
        <v>0</v>
      </c>
      <c r="J40" s="61" t="n">
        <f aca="false">J39*J38</f>
        <v>0</v>
      </c>
      <c r="K40" s="61" t="n">
        <f aca="false">K39*K38</f>
        <v>0</v>
      </c>
      <c r="L40" s="61" t="n">
        <f aca="false">L39*L38</f>
        <v>63.1853488008388</v>
      </c>
      <c r="M40" s="61" t="n">
        <f aca="false">M39*M38</f>
        <v>211.894571410113</v>
      </c>
      <c r="N40" s="61" t="n">
        <f aca="false">N39*N38</f>
        <v>305.158429853725</v>
      </c>
      <c r="O40" s="61" t="n">
        <f aca="false">O39*O38</f>
        <v>367.261251395159</v>
      </c>
      <c r="P40" s="61" t="n">
        <f aca="false">P39*P38</f>
        <v>448.419907652336</v>
      </c>
      <c r="Q40" s="61" t="n">
        <f aca="false">Q39*Q38</f>
        <v>532.551787041086</v>
      </c>
      <c r="R40" s="61" t="n">
        <f aca="false">R39*R38</f>
        <v>474.558842074202</v>
      </c>
      <c r="S40" s="61" t="n">
        <f aca="false">S39*S38</f>
        <v>682.263317090534</v>
      </c>
      <c r="T40" s="61" t="n">
        <f aca="false">T39*T38</f>
        <v>786.211518538173</v>
      </c>
      <c r="U40" s="61" t="n">
        <f aca="false">U39*U38</f>
        <v>848.417383357865</v>
      </c>
      <c r="V40" s="61" t="n">
        <f aca="false">V39*V38</f>
        <v>890.904317802948</v>
      </c>
      <c r="W40" s="61" t="n">
        <f aca="false">W39*W38</f>
        <v>963.241756914163</v>
      </c>
      <c r="X40" s="61" t="n">
        <f aca="false">X39*X38</f>
        <v>324.996995611135</v>
      </c>
      <c r="Y40" s="304" t="n">
        <f aca="false">SUM(D40:X40)</f>
        <v>6899.06542754228</v>
      </c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</row>
    <row r="41" customFormat="false" ht="12.75" hidden="false" customHeight="false" outlineLevel="0" collapsed="false">
      <c r="A41" s="37"/>
      <c r="B41" s="39"/>
      <c r="C41" s="39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418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</row>
    <row r="42" customFormat="false" ht="12.75" hidden="false" customHeight="false" outlineLevel="0" collapsed="false">
      <c r="A42" s="37" t="s">
        <v>774</v>
      </c>
      <c r="B42" s="39"/>
      <c r="C42" s="39"/>
      <c r="D42" s="61" t="n">
        <f aca="false">SUM(D33,D40)</f>
        <v>0</v>
      </c>
      <c r="E42" s="61" t="n">
        <f aca="false">SUM(E33,E40)</f>
        <v>0</v>
      </c>
      <c r="F42" s="61" t="n">
        <f aca="false">SUM(F33,F40)</f>
        <v>0</v>
      </c>
      <c r="G42" s="61" t="n">
        <f aca="false">SUM(G33,G40)</f>
        <v>0</v>
      </c>
      <c r="H42" s="61" t="n">
        <f aca="false">SUM(H33,H40)</f>
        <v>0</v>
      </c>
      <c r="I42" s="61" t="n">
        <f aca="false">SUM(I33,I40)</f>
        <v>0</v>
      </c>
      <c r="J42" s="61" t="n">
        <f aca="false">SUM(J33,J40)</f>
        <v>0</v>
      </c>
      <c r="K42" s="61" t="n">
        <f aca="false">SUM(K33,K40)</f>
        <v>0</v>
      </c>
      <c r="L42" s="61" t="n">
        <f aca="false">SUM(L33,L40)</f>
        <v>191.766188903505</v>
      </c>
      <c r="M42" s="61" t="n">
        <f aca="false">SUM(M33,M40)</f>
        <v>563.53924542669</v>
      </c>
      <c r="N42" s="61" t="n">
        <f aca="false">SUM(N33,N40)</f>
        <v>796.698891535722</v>
      </c>
      <c r="O42" s="61" t="n">
        <f aca="false">SUM(O33,O40)</f>
        <v>951.955945389305</v>
      </c>
      <c r="P42" s="61" t="n">
        <f aca="false">SUM(P33,P40)</f>
        <v>1154.85258603225</v>
      </c>
      <c r="Q42" s="61" t="n">
        <f aca="false">SUM(Q33,Q40)</f>
        <v>1365.18228450412</v>
      </c>
      <c r="R42" s="61" t="n">
        <f aca="false">SUM(R33,R40)</f>
        <v>1220.19992208691</v>
      </c>
      <c r="S42" s="61" t="n">
        <f aca="false">SUM(S33,S40)</f>
        <v>1739.46110962774</v>
      </c>
      <c r="T42" s="61" t="n">
        <f aca="false">SUM(T33,T40)</f>
        <v>1999.33161324684</v>
      </c>
      <c r="U42" s="61" t="n">
        <f aca="false">SUM(U33,U40)</f>
        <v>2154.84627529607</v>
      </c>
      <c r="V42" s="61" t="n">
        <f aca="false">SUM(V33,V40)</f>
        <v>2261.06361140878</v>
      </c>
      <c r="W42" s="61" t="n">
        <f aca="false">SUM(W33,W40)</f>
        <v>2441.90720918682</v>
      </c>
      <c r="X42" s="61" t="n">
        <f aca="false">SUM(X33,X40)</f>
        <v>823.76009466164</v>
      </c>
      <c r="Y42" s="304" t="n">
        <f aca="false">SUM(D42:X42)</f>
        <v>17664.5649773064</v>
      </c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</row>
    <row r="43" customFormat="false" ht="12.75" hidden="false" customHeight="false" outlineLevel="0" collapsed="false">
      <c r="A43" s="37" t="s">
        <v>775</v>
      </c>
      <c r="B43" s="136" t="str">
        <f aca="false">IF(Assm!$L$29=1,"On","Off")</f>
        <v>On</v>
      </c>
      <c r="C43" s="39"/>
      <c r="D43" s="876" t="n">
        <f aca="false">IF(D$7&gt;Assm!$I$33,0,HLOOKUP(D$7,Sudam_Table,Assm!$M$35))*Assm!$L$29</f>
        <v>0.375</v>
      </c>
      <c r="E43" s="876" t="n">
        <f aca="false">IF(E$7&gt;Assm!$I$33,0,HLOOKUP(E$7,Sudam_Table,Assm!$M$35))*Assm!$L$29</f>
        <v>0.375</v>
      </c>
      <c r="F43" s="876" t="n">
        <f aca="false">IF(F$7&gt;Assm!$I$33,0,HLOOKUP(F$7,Sudam_Table,Assm!$M$35))*Assm!$L$29</f>
        <v>0.375</v>
      </c>
      <c r="G43" s="876" t="n">
        <f aca="false">IF(G$7&gt;Assm!$I$33,0,HLOOKUP(G$7,Sudam_Table,Assm!$M$35))*Assm!$L$29</f>
        <v>0.375</v>
      </c>
      <c r="H43" s="876" t="n">
        <f aca="false">IF(H$7&gt;Assm!$I$33,0,HLOOKUP(H$7,Sudam_Table,Assm!$M$35))*Assm!$L$29</f>
        <v>0.375</v>
      </c>
      <c r="I43" s="876" t="n">
        <f aca="false">IF(I$7&gt;Assm!$I$33,0,HLOOKUP(I$7,Sudam_Table,Assm!$M$35))*Assm!$L$29</f>
        <v>0.25</v>
      </c>
      <c r="J43" s="876" t="n">
        <f aca="false">IF(J$7&gt;Assm!$I$33,0,HLOOKUP(J$7,Sudam_Table,Assm!$M$35))*Assm!$L$29</f>
        <v>0.25</v>
      </c>
      <c r="K43" s="876" t="n">
        <f aca="false">IF(K$7&gt;Assm!$I$33,0,HLOOKUP(K$7,Sudam_Table,Assm!$M$35))*Assm!$L$29</f>
        <v>0.25</v>
      </c>
      <c r="L43" s="876" t="n">
        <f aca="false">IF(L$7&gt;Assm!$I$33,0,HLOOKUP(L$7,Sudam_Table,Assm!$M$35))*Assm!$L$29</f>
        <v>0.25</v>
      </c>
      <c r="M43" s="876" t="n">
        <f aca="false">IF(M$7&gt;Assm!$I$33,0,HLOOKUP(M$7,Sudam_Table,Assm!$M$35))*Assm!$L$29</f>
        <v>0.25</v>
      </c>
      <c r="N43" s="876" t="n">
        <f aca="false">IF(N$7&gt;Assm!$I$33,0,HLOOKUP(N$7,Sudam_Table,Assm!$M$35))*Assm!$L$29</f>
        <v>0.125</v>
      </c>
      <c r="O43" s="876" t="n">
        <f aca="false">IF(O$7&gt;Assm!$I$33,0,HLOOKUP(O$7,Sudam_Table,Assm!$M$35))*Assm!$L$29</f>
        <v>0.125</v>
      </c>
      <c r="P43" s="876" t="n">
        <f aca="false">IF(P$7&gt;Assm!$I$33,0,HLOOKUP(P$7,Sudam_Table,Assm!$M$35))*Assm!$L$29</f>
        <v>0.125</v>
      </c>
      <c r="Q43" s="876" t="n">
        <f aca="false">IF(Q$7&gt;Assm!$I$33,0,HLOOKUP(Q$7,Sudam_Table,Assm!$M$35))*Assm!$L$29</f>
        <v>0.125</v>
      </c>
      <c r="R43" s="876" t="n">
        <f aca="false">IF(R$7&gt;Assm!$I$33,0,HLOOKUP(R$7,Sudam_Table,Assm!$M$35))*Assm!$L$29</f>
        <v>0.125</v>
      </c>
      <c r="S43" s="876" t="n">
        <f aca="false">IF(S$7&gt;Assm!$I$33,0,HLOOKUP(S$7,Sudam_Table,Assm!$M$35))*Assm!$L$29</f>
        <v>0</v>
      </c>
      <c r="T43" s="876" t="n">
        <f aca="false">IF(T$7&gt;Assm!$I$33,0,HLOOKUP(T$7,Sudam_Table,Assm!$M$35))*Assm!$L$29</f>
        <v>0</v>
      </c>
      <c r="U43" s="876" t="n">
        <f aca="false">IF(U$7&gt;Assm!$I$33,0,HLOOKUP(U$7,Sudam_Table,Assm!$M$35))*Assm!$L$29</f>
        <v>0</v>
      </c>
      <c r="V43" s="876" t="n">
        <f aca="false">IF(V$7&gt;Assm!$I$33,0,HLOOKUP(V$7,Sudam_Table,Assm!$M$35))*Assm!$L$29</f>
        <v>0</v>
      </c>
      <c r="W43" s="876" t="n">
        <f aca="false">IF(W$7&gt;Assm!$I$33,0,HLOOKUP(W$7,Sudam_Table,Assm!$M$35))*Assm!$L$29</f>
        <v>0</v>
      </c>
      <c r="X43" s="876" t="n">
        <f aca="false">IF(X$7&gt;Assm!$I$33,0,HLOOKUP(X$7,Sudam_Table,Assm!$M$35))*Assm!$L$29</f>
        <v>0</v>
      </c>
      <c r="Y43" s="298"/>
    </row>
    <row r="44" customFormat="false" ht="13.5" hidden="false" customHeight="false" outlineLevel="0" collapsed="false">
      <c r="A44" s="49" t="s">
        <v>776</v>
      </c>
      <c r="B44" s="256" t="s">
        <v>777</v>
      </c>
      <c r="C44" s="22"/>
      <c r="D44" s="877" t="n">
        <f aca="false">D42*D43</f>
        <v>0</v>
      </c>
      <c r="E44" s="877" t="n">
        <f aca="false">E42*E43</f>
        <v>0</v>
      </c>
      <c r="F44" s="877" t="n">
        <f aca="false">F42*F43</f>
        <v>0</v>
      </c>
      <c r="G44" s="877" t="n">
        <f aca="false">G42*G43</f>
        <v>0</v>
      </c>
      <c r="H44" s="877" t="n">
        <f aca="false">H42*H43</f>
        <v>0</v>
      </c>
      <c r="I44" s="877" t="n">
        <f aca="false">I42*I43</f>
        <v>0</v>
      </c>
      <c r="J44" s="877" t="n">
        <f aca="false">J42*J43</f>
        <v>0</v>
      </c>
      <c r="K44" s="877" t="n">
        <f aca="false">K42*K43</f>
        <v>0</v>
      </c>
      <c r="L44" s="877" t="n">
        <f aca="false">L42*L43</f>
        <v>47.9415472258764</v>
      </c>
      <c r="M44" s="877" t="n">
        <f aca="false">M42*M43</f>
        <v>140.884811356672</v>
      </c>
      <c r="N44" s="877" t="n">
        <f aca="false">N42*N43</f>
        <v>99.5873614419652</v>
      </c>
      <c r="O44" s="877" t="n">
        <f aca="false">O42*O43</f>
        <v>118.994493173663</v>
      </c>
      <c r="P44" s="877" t="n">
        <f aca="false">P42*P43</f>
        <v>144.356573254031</v>
      </c>
      <c r="Q44" s="877" t="n">
        <f aca="false">Q42*Q43</f>
        <v>170.647785563016</v>
      </c>
      <c r="R44" s="877" t="n">
        <f aca="false">R42*R43</f>
        <v>152.524990260864</v>
      </c>
      <c r="S44" s="877" t="n">
        <f aca="false">S42*S43</f>
        <v>0</v>
      </c>
      <c r="T44" s="877" t="n">
        <f aca="false">T42*T43</f>
        <v>0</v>
      </c>
      <c r="U44" s="877" t="n">
        <f aca="false">U42*U43</f>
        <v>0</v>
      </c>
      <c r="V44" s="877" t="n">
        <f aca="false">V42*V43</f>
        <v>0</v>
      </c>
      <c r="W44" s="877" t="n">
        <f aca="false">W42*W43</f>
        <v>0</v>
      </c>
      <c r="X44" s="877" t="n">
        <f aca="false">X42*X43</f>
        <v>0</v>
      </c>
      <c r="Y44" s="878" t="n">
        <f aca="false">SUM(D44:X44)</f>
        <v>874.937562276088</v>
      </c>
    </row>
    <row r="45" customFormat="false" ht="12.75" hidden="false" customHeight="false" outlineLevel="0" collapsed="false">
      <c r="A45" s="39" t="s">
        <v>778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879"/>
    </row>
    <row r="46" customFormat="false" ht="12.75" hidden="false" customHeight="false" outlineLevel="0" collapsed="false">
      <c r="Y46" s="315"/>
    </row>
    <row r="47" customFormat="false" ht="13.5" hidden="false" customHeight="false" outlineLevel="0" collapsed="false">
      <c r="Y47" s="880"/>
    </row>
    <row r="48" customFormat="false" ht="12.75" hidden="false" customHeight="false" outlineLevel="0" collapsed="false">
      <c r="A48" s="34" t="s">
        <v>245</v>
      </c>
      <c r="B48" s="25"/>
      <c r="C48" s="26"/>
      <c r="D48" s="881"/>
      <c r="E48" s="881"/>
      <c r="F48" s="881"/>
      <c r="G48" s="881"/>
      <c r="H48" s="881"/>
      <c r="I48" s="881"/>
      <c r="J48" s="881"/>
      <c r="K48" s="881"/>
      <c r="L48" s="881"/>
      <c r="M48" s="881"/>
      <c r="N48" s="881"/>
      <c r="O48" s="881"/>
      <c r="P48" s="881"/>
      <c r="Q48" s="881"/>
      <c r="R48" s="881"/>
      <c r="S48" s="881"/>
      <c r="T48" s="881"/>
      <c r="U48" s="881"/>
      <c r="V48" s="881"/>
      <c r="W48" s="881"/>
      <c r="X48" s="881"/>
      <c r="Y48" s="882"/>
    </row>
    <row r="49" customFormat="false" ht="12.75" hidden="false" customHeight="false" outlineLevel="0" collapsed="false">
      <c r="A49" s="37" t="s">
        <v>779</v>
      </c>
      <c r="B49" s="38"/>
      <c r="C49" s="39"/>
      <c r="D49" s="61" t="n">
        <f aca="false">HLOOKUP(D$7-1,BS_Table,BS_IS!$AE$27)</f>
        <v>6637.97008564951</v>
      </c>
      <c r="E49" s="61" t="n">
        <f aca="false">HLOOKUP(E$7-1,BS_Table,BS_IS!$AE$27)</f>
        <v>29130.5128272317</v>
      </c>
      <c r="F49" s="61" t="n">
        <f aca="false">HLOOKUP(F$7-1,BS_Table,BS_IS!$AE$27)</f>
        <v>29130.5128272317</v>
      </c>
      <c r="G49" s="61" t="n">
        <f aca="false">HLOOKUP(G$7-1,BS_Table,BS_IS!$AE$27)</f>
        <v>29130.5128272317</v>
      </c>
      <c r="H49" s="61" t="n">
        <f aca="false">HLOOKUP(H$7-1,BS_Table,BS_IS!$AE$27)</f>
        <v>29130.5128272317</v>
      </c>
      <c r="I49" s="61" t="n">
        <f aca="false">HLOOKUP(I$7-1,BS_Table,BS_IS!$AE$27)</f>
        <v>29130.5128272317</v>
      </c>
      <c r="J49" s="61" t="n">
        <f aca="false">HLOOKUP(J$7-1,BS_Table,BS_IS!$AE$27)</f>
        <v>29130.5128272317</v>
      </c>
      <c r="K49" s="61" t="n">
        <f aca="false">HLOOKUP(K$7-1,BS_Table,BS_IS!$AE$27)</f>
        <v>29130.5128272317</v>
      </c>
      <c r="L49" s="61" t="n">
        <f aca="false">HLOOKUP(L$7-1,BS_Table,BS_IS!$AE$27)</f>
        <v>29130.5128272317</v>
      </c>
      <c r="M49" s="61" t="n">
        <f aca="false">HLOOKUP(M$7-1,BS_Table,BS_IS!$AE$27)</f>
        <v>29130.5128272317</v>
      </c>
      <c r="N49" s="61" t="n">
        <f aca="false">HLOOKUP(N$7-1,BS_Table,BS_IS!$AE$27)</f>
        <v>29130.5128272317</v>
      </c>
      <c r="O49" s="61" t="n">
        <f aca="false">HLOOKUP(O$7-1,BS_Table,BS_IS!$AE$27)</f>
        <v>29130.5128272317</v>
      </c>
      <c r="P49" s="61" t="n">
        <f aca="false">HLOOKUP(P$7-1,BS_Table,BS_IS!$AE$27)</f>
        <v>29130.5128272317</v>
      </c>
      <c r="Q49" s="61" t="n">
        <f aca="false">HLOOKUP(Q$7-1,BS_Table,BS_IS!$AE$27)</f>
        <v>29130.5128272317</v>
      </c>
      <c r="R49" s="61" t="n">
        <f aca="false">HLOOKUP(R$7-1,BS_Table,BS_IS!$AE$27)</f>
        <v>29130.5128272317</v>
      </c>
      <c r="S49" s="61" t="n">
        <f aca="false">HLOOKUP(S$7-1,BS_Table,BS_IS!$AE$27)</f>
        <v>29130.5128272317</v>
      </c>
      <c r="T49" s="61" t="n">
        <f aca="false">HLOOKUP(T$7-1,BS_Table,BS_IS!$AE$27)</f>
        <v>29130.5128272317</v>
      </c>
      <c r="U49" s="61" t="n">
        <f aca="false">HLOOKUP(U$7-1,BS_Table,BS_IS!$AE$27)</f>
        <v>29130.5128272317</v>
      </c>
      <c r="V49" s="61" t="n">
        <f aca="false">HLOOKUP(V$7-1,BS_Table,BS_IS!$AE$27)</f>
        <v>29130.5128272317</v>
      </c>
      <c r="W49" s="61" t="n">
        <f aca="false">HLOOKUP(W$7-1,BS_Table,BS_IS!$AE$27)</f>
        <v>29130.5128272317</v>
      </c>
      <c r="X49" s="61" t="n">
        <f aca="false">HLOOKUP(X$7-1,BS_Table,BS_IS!$AE$27)</f>
        <v>29130.5128272317</v>
      </c>
      <c r="Y49" s="304"/>
    </row>
    <row r="50" customFormat="false" ht="12.75" hidden="false" customHeight="false" outlineLevel="0" collapsed="false">
      <c r="A50" s="37" t="s">
        <v>780</v>
      </c>
      <c r="B50" s="38"/>
      <c r="C50" s="39"/>
      <c r="D50" s="61" t="n">
        <f aca="false">HLOOKUP(D$7-1,BS_Table,BS_IS!$AE$29)</f>
        <v>0</v>
      </c>
      <c r="E50" s="61" t="n">
        <f aca="false">HLOOKUP(E$7-1,BS_Table,BS_IS!$AE$29)</f>
        <v>0</v>
      </c>
      <c r="F50" s="61" t="n">
        <f aca="false">HLOOKUP(F$7-1,BS_Table,BS_IS!$AE$29)</f>
        <v>0</v>
      </c>
      <c r="G50" s="61" t="n">
        <f aca="false">HLOOKUP(G$7-1,BS_Table,BS_IS!$AE$29)</f>
        <v>-4849.95618144266</v>
      </c>
      <c r="H50" s="61" t="n">
        <f aca="false">HLOOKUP(H$7-1,BS_Table,BS_IS!$AE$29)</f>
        <v>-14162.2399115488</v>
      </c>
      <c r="I50" s="61" t="n">
        <f aca="false">HLOOKUP(I$7-1,BS_Table,BS_IS!$AE$29)</f>
        <v>-23648.1387461587</v>
      </c>
      <c r="J50" s="61" t="n">
        <f aca="false">HLOOKUP(J$7-1,BS_Table,BS_IS!$AE$29)</f>
        <v>-28255.5339453955</v>
      </c>
      <c r="K50" s="61" t="n">
        <f aca="false">HLOOKUP(K$7-1,BS_Table,BS_IS!$AE$29)</f>
        <v>-31605.0776920621</v>
      </c>
      <c r="L50" s="61" t="n">
        <f aca="false">HLOOKUP(L$7-1,BS_Table,BS_IS!$AE$29)</f>
        <v>-33959.2662015804</v>
      </c>
      <c r="M50" s="61" t="n">
        <f aca="false">HLOOKUP(M$7-1,BS_Table,BS_IS!$AE$29)</f>
        <v>-35152.7627082595</v>
      </c>
      <c r="N50" s="61" t="n">
        <f aca="false">HLOOKUP(N$7-1,BS_Table,BS_IS!$AE$29)</f>
        <v>-34915.1209049397</v>
      </c>
      <c r="O50" s="61" t="n">
        <f aca="false">HLOOKUP(O$7-1,BS_Table,BS_IS!$AE$29)</f>
        <v>-33771.4585512341</v>
      </c>
      <c r="P50" s="61" t="n">
        <f aca="false">HLOOKUP(P$7-1,BS_Table,BS_IS!$AE$29)</f>
        <v>-31732.4704868702</v>
      </c>
      <c r="Q50" s="61" t="n">
        <f aca="false">HLOOKUP(Q$7-1,BS_Table,BS_IS!$AE$29)</f>
        <v>-28795.7831212089</v>
      </c>
      <c r="R50" s="61" t="n">
        <f aca="false">HLOOKUP(R$7-1,BS_Table,BS_IS!$AE$29)</f>
        <v>-24704.0460013683</v>
      </c>
      <c r="S50" s="61" t="n">
        <f aca="false">HLOOKUP(S$7-1,BS_Table,BS_IS!$AE$29)</f>
        <v>-20848.8191378128</v>
      </c>
      <c r="T50" s="61" t="n">
        <f aca="false">HLOOKUP(T$7-1,BS_Table,BS_IS!$AE$29)</f>
        <v>-15424.1116255605</v>
      </c>
      <c r="U50" s="61" t="n">
        <f aca="false">HLOOKUP(U$7-1,BS_Table,BS_IS!$AE$29)</f>
        <v>-9172.27567999704</v>
      </c>
      <c r="V50" s="61" t="n">
        <f aca="false">HLOOKUP(V$7-1,BS_Table,BS_IS!$AE$29)</f>
        <v>-2465.99839814895</v>
      </c>
      <c r="W50" s="61" t="n">
        <f aca="false">HLOOKUP(W$7-1,BS_Table,BS_IS!$AE$29)</f>
        <v>4150.35970157787</v>
      </c>
      <c r="X50" s="61" t="n">
        <f aca="false">HLOOKUP(X$7-1,BS_Table,BS_IS!$AE$29)</f>
        <v>11731.728567102</v>
      </c>
      <c r="Y50" s="304"/>
    </row>
    <row r="51" customFormat="false" ht="12.75" hidden="false" customHeight="false" outlineLevel="0" collapsed="false">
      <c r="A51" s="37" t="s">
        <v>781</v>
      </c>
      <c r="B51" s="38"/>
      <c r="C51" s="39"/>
      <c r="D51" s="306" t="n">
        <f aca="false">HLOOKUP(D$7-1,BS_Table,BS_IS!$AE$30)</f>
        <v>0</v>
      </c>
      <c r="E51" s="306" t="n">
        <f aca="false">HLOOKUP(E$7-1,BS_Table,BS_IS!$AE$30)</f>
        <v>0</v>
      </c>
      <c r="F51" s="306" t="n">
        <f aca="false">HLOOKUP(F$7-1,BS_Table,BS_IS!$AE$30)</f>
        <v>0</v>
      </c>
      <c r="G51" s="306" t="n">
        <f aca="false">HLOOKUP(G$7-1,BS_Table,BS_IS!$AE$30)</f>
        <v>0</v>
      </c>
      <c r="H51" s="306" t="n">
        <f aca="false">HLOOKUP(H$7-1,BS_Table,BS_IS!$AE$30)</f>
        <v>0</v>
      </c>
      <c r="I51" s="306" t="n">
        <f aca="false">HLOOKUP(I$7-1,BS_Table,BS_IS!$AE$30)</f>
        <v>0</v>
      </c>
      <c r="J51" s="306" t="n">
        <f aca="false">HLOOKUP(J$7-1,BS_Table,BS_IS!$AE$30)</f>
        <v>0</v>
      </c>
      <c r="K51" s="306" t="n">
        <f aca="false">HLOOKUP(K$7-1,BS_Table,BS_IS!$AE$30)</f>
        <v>0</v>
      </c>
      <c r="L51" s="306" t="n">
        <f aca="false">HLOOKUP(L$7-1,BS_Table,BS_IS!$AE$30)</f>
        <v>0</v>
      </c>
      <c r="M51" s="306" t="n">
        <f aca="false">HLOOKUP(M$7-1,BS_Table,BS_IS!$AE$30)</f>
        <v>0</v>
      </c>
      <c r="N51" s="306" t="n">
        <f aca="false">HLOOKUP(N$7-1,BS_Table,BS_IS!$AE$30)</f>
        <v>0</v>
      </c>
      <c r="O51" s="306" t="n">
        <f aca="false">HLOOKUP(O$7-1,BS_Table,BS_IS!$AE$30)</f>
        <v>0</v>
      </c>
      <c r="P51" s="306" t="n">
        <f aca="false">HLOOKUP(P$7-1,BS_Table,BS_IS!$AE$30)</f>
        <v>0</v>
      </c>
      <c r="Q51" s="306" t="n">
        <f aca="false">HLOOKUP(Q$7-1,BS_Table,BS_IS!$AE$30)</f>
        <v>0</v>
      </c>
      <c r="R51" s="306" t="n">
        <f aca="false">HLOOKUP(R$7-1,BS_Table,BS_IS!$AE$30)</f>
        <v>0</v>
      </c>
      <c r="S51" s="306" t="n">
        <f aca="false">HLOOKUP(S$7-1,BS_Table,BS_IS!$AE$30)</f>
        <v>0</v>
      </c>
      <c r="T51" s="306" t="n">
        <f aca="false">HLOOKUP(T$7-1,BS_Table,BS_IS!$AE$30)</f>
        <v>0</v>
      </c>
      <c r="U51" s="306" t="n">
        <f aca="false">HLOOKUP(U$7-1,BS_Table,BS_IS!$AE$30)</f>
        <v>0</v>
      </c>
      <c r="V51" s="306" t="n">
        <f aca="false">HLOOKUP(V$7-1,BS_Table,BS_IS!$AE$30)</f>
        <v>0</v>
      </c>
      <c r="W51" s="306" t="n">
        <f aca="false">HLOOKUP(W$7-1,BS_Table,BS_IS!$AE$30)</f>
        <v>-4150.35970157787</v>
      </c>
      <c r="X51" s="306" t="n">
        <f aca="false">HLOOKUP(X$7-1,BS_Table,BS_IS!$AE$30)</f>
        <v>-11731.728567102</v>
      </c>
      <c r="Y51" s="304"/>
    </row>
    <row r="52" customFormat="false" ht="12.75" hidden="false" customHeight="false" outlineLevel="0" collapsed="false">
      <c r="A52" s="37" t="s">
        <v>782</v>
      </c>
      <c r="B52" s="38"/>
      <c r="C52" s="39"/>
      <c r="D52" s="61" t="n">
        <f aca="false">SUM(D49:D51)</f>
        <v>6637.97008564951</v>
      </c>
      <c r="E52" s="61" t="n">
        <f aca="false">SUM(E49:E51)</f>
        <v>29130.5128272317</v>
      </c>
      <c r="F52" s="61" t="n">
        <f aca="false">SUM(F49:F51)</f>
        <v>29130.5128272317</v>
      </c>
      <c r="G52" s="61" t="n">
        <f aca="false">SUM(G49:G51)</f>
        <v>24280.5566457891</v>
      </c>
      <c r="H52" s="61" t="n">
        <f aca="false">SUM(H49:H51)</f>
        <v>14968.272915683</v>
      </c>
      <c r="I52" s="61" t="n">
        <f aca="false">SUM(I49:I51)</f>
        <v>5482.37408107306</v>
      </c>
      <c r="J52" s="61" t="n">
        <f aca="false">SUM(J49:J51)</f>
        <v>874.978881836236</v>
      </c>
      <c r="K52" s="61" t="n">
        <f aca="false">SUM(K49:K51)</f>
        <v>-2474.56486483041</v>
      </c>
      <c r="L52" s="61" t="n">
        <f aca="false">SUM(L49:L51)</f>
        <v>-4828.7533743487</v>
      </c>
      <c r="M52" s="61" t="n">
        <f aca="false">SUM(M49:M51)</f>
        <v>-6022.24988102776</v>
      </c>
      <c r="N52" s="61" t="n">
        <f aca="false">SUM(N49:N51)</f>
        <v>-5784.60807770804</v>
      </c>
      <c r="O52" s="61" t="n">
        <f aca="false">SUM(O49:O51)</f>
        <v>-4640.94572400236</v>
      </c>
      <c r="P52" s="61" t="n">
        <f aca="false">SUM(P49:P51)</f>
        <v>-2601.95765963851</v>
      </c>
      <c r="Q52" s="61" t="n">
        <f aca="false">SUM(Q49:Q51)</f>
        <v>334.729706022816</v>
      </c>
      <c r="R52" s="61" t="n">
        <f aca="false">SUM(R49:R51)</f>
        <v>4426.46682586344</v>
      </c>
      <c r="S52" s="61" t="n">
        <f aca="false">SUM(S49:S51)</f>
        <v>8281.69368941894</v>
      </c>
      <c r="T52" s="61" t="n">
        <f aca="false">SUM(T49:T51)</f>
        <v>13706.4012016712</v>
      </c>
      <c r="U52" s="61" t="n">
        <f aca="false">SUM(U49:U51)</f>
        <v>19958.2371472347</v>
      </c>
      <c r="V52" s="61" t="n">
        <f aca="false">SUM(V49:V51)</f>
        <v>26664.5144290828</v>
      </c>
      <c r="W52" s="61" t="n">
        <f aca="false">SUM(W49:W51)</f>
        <v>29130.5128272317</v>
      </c>
      <c r="X52" s="61" t="n">
        <f aca="false">SUM(X49:X51)</f>
        <v>29130.5128272317</v>
      </c>
      <c r="Y52" s="304"/>
    </row>
    <row r="53" customFormat="false" ht="12.75" hidden="false" customHeight="false" outlineLevel="0" collapsed="false">
      <c r="A53" s="37" t="s">
        <v>783</v>
      </c>
      <c r="B53" s="38"/>
      <c r="C53" s="39"/>
      <c r="D53" s="534" t="n">
        <f aca="false">Assm!$I$65</f>
        <v>0.1</v>
      </c>
      <c r="E53" s="534" t="n">
        <f aca="false">Assm!$I$65</f>
        <v>0.1</v>
      </c>
      <c r="F53" s="534" t="n">
        <f aca="false">Assm!$I$65</f>
        <v>0.1</v>
      </c>
      <c r="G53" s="534" t="n">
        <f aca="false">Assm!$I$65</f>
        <v>0.1</v>
      </c>
      <c r="H53" s="534" t="n">
        <f aca="false">Assm!$I$65</f>
        <v>0.1</v>
      </c>
      <c r="I53" s="534" t="n">
        <f aca="false">Assm!$I$65</f>
        <v>0.1</v>
      </c>
      <c r="J53" s="534" t="n">
        <f aca="false">Assm!$I$65</f>
        <v>0.1</v>
      </c>
      <c r="K53" s="534" t="n">
        <f aca="false">Assm!$I$65</f>
        <v>0.1</v>
      </c>
      <c r="L53" s="534" t="n">
        <f aca="false">Assm!$I$65</f>
        <v>0.1</v>
      </c>
      <c r="M53" s="534" t="n">
        <f aca="false">Assm!$I$65</f>
        <v>0.1</v>
      </c>
      <c r="N53" s="534" t="n">
        <f aca="false">Assm!$I$65</f>
        <v>0.1</v>
      </c>
      <c r="O53" s="534" t="n">
        <f aca="false">Assm!$I$65</f>
        <v>0.1</v>
      </c>
      <c r="P53" s="534" t="n">
        <f aca="false">Assm!$I$65</f>
        <v>0.1</v>
      </c>
      <c r="Q53" s="534" t="n">
        <f aca="false">Assm!$I$65</f>
        <v>0.1</v>
      </c>
      <c r="R53" s="534" t="n">
        <f aca="false">Assm!$I$65</f>
        <v>0.1</v>
      </c>
      <c r="S53" s="534" t="n">
        <f aca="false">Assm!$I$65</f>
        <v>0.1</v>
      </c>
      <c r="T53" s="534" t="n">
        <f aca="false">Assm!$I$65</f>
        <v>0.1</v>
      </c>
      <c r="U53" s="534" t="n">
        <f aca="false">Assm!$I$65</f>
        <v>0.1</v>
      </c>
      <c r="V53" s="534" t="n">
        <f aca="false">Assm!$I$65</f>
        <v>0.1</v>
      </c>
      <c r="W53" s="534" t="n">
        <f aca="false">Assm!$I$65</f>
        <v>0.1</v>
      </c>
      <c r="X53" s="534" t="n">
        <f aca="false">Assm!$I$65</f>
        <v>0.1</v>
      </c>
      <c r="Y53" s="418"/>
    </row>
    <row r="54" customFormat="false" ht="12.75" hidden="false" customHeight="false" outlineLevel="0" collapsed="false">
      <c r="A54" s="37" t="s">
        <v>784</v>
      </c>
      <c r="B54" s="311" t="s">
        <v>785</v>
      </c>
      <c r="C54" s="39"/>
      <c r="D54" s="61" t="n">
        <f aca="false">D52*D53/D8*D9</f>
        <v>0</v>
      </c>
      <c r="E54" s="61" t="n">
        <f aca="false">E52*E53/E8*E9</f>
        <v>0</v>
      </c>
      <c r="F54" s="61" t="n">
        <f aca="false">F52*F53/F8*F9</f>
        <v>2427.54273560264</v>
      </c>
      <c r="G54" s="61" t="n">
        <f aca="false">G52*G53/G8*G9</f>
        <v>2428.05566457891</v>
      </c>
      <c r="H54" s="61" t="n">
        <f aca="false">H52*H53/H8*H9</f>
        <v>1496.8272915683</v>
      </c>
      <c r="I54" s="61" t="n">
        <f aca="false">I52*I53/I8*I9</f>
        <v>548.237408107306</v>
      </c>
      <c r="J54" s="61" t="n">
        <f aca="false">J52*J53/J8*J9</f>
        <v>87.4978881836236</v>
      </c>
      <c r="K54" s="61" t="n">
        <f aca="false">K52*K53/K8*K9</f>
        <v>-247.456486483041</v>
      </c>
      <c r="L54" s="61" t="n">
        <f aca="false">L52*L53/L8*L9</f>
        <v>-482.87533743487</v>
      </c>
      <c r="M54" s="61" t="n">
        <f aca="false">M52*M53/M8*M9</f>
        <v>-602.224988102776</v>
      </c>
      <c r="N54" s="61" t="n">
        <f aca="false">N52*N53/N8*N9</f>
        <v>-578.460807770804</v>
      </c>
      <c r="O54" s="61" t="n">
        <f aca="false">O52*O53/O8*O9</f>
        <v>-464.094572400236</v>
      </c>
      <c r="P54" s="61" t="n">
        <f aca="false">P52*P53/P8*P9</f>
        <v>-260.195765963851</v>
      </c>
      <c r="Q54" s="61" t="n">
        <f aca="false">Q52*Q53/Q8*Q9</f>
        <v>33.4729706022816</v>
      </c>
      <c r="R54" s="61" t="n">
        <f aca="false">R52*R53/R8*R9</f>
        <v>442.646682586344</v>
      </c>
      <c r="S54" s="61" t="n">
        <f aca="false">S52*S53/S8*S9</f>
        <v>828.169368941894</v>
      </c>
      <c r="T54" s="61" t="n">
        <f aca="false">T52*T53/T8*T9</f>
        <v>1370.64012016712</v>
      </c>
      <c r="U54" s="61" t="n">
        <f aca="false">U52*U53/U8*U9</f>
        <v>1995.82371472347</v>
      </c>
      <c r="V54" s="61" t="n">
        <f aca="false">V52*V53/V8*V9</f>
        <v>2666.45144290828</v>
      </c>
      <c r="W54" s="61" t="n">
        <f aca="false">W52*W53/W8*W9</f>
        <v>2913.05128272317</v>
      </c>
      <c r="X54" s="61" t="n">
        <f aca="false">X52*X53/X8*X9</f>
        <v>971.017094241057</v>
      </c>
      <c r="Y54" s="304" t="n">
        <f aca="false">SUM(D54:X54)</f>
        <v>15574.1257067788</v>
      </c>
    </row>
    <row r="55" customFormat="false" ht="12.75" hidden="false" customHeight="false" outlineLevel="0" collapsed="false">
      <c r="A55" s="37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298"/>
    </row>
    <row r="56" customFormat="false" ht="12.75" hidden="false" customHeight="false" outlineLevel="0" collapsed="false">
      <c r="A56" s="37" t="s">
        <v>786</v>
      </c>
      <c r="B56" s="38"/>
      <c r="C56" s="883" t="s">
        <v>787</v>
      </c>
      <c r="D56" s="61" t="n">
        <f aca="false">Trapped!E14</f>
        <v>0</v>
      </c>
      <c r="E56" s="61" t="n">
        <f aca="false">Trapped!F14</f>
        <v>0</v>
      </c>
      <c r="F56" s="61" t="n">
        <f aca="false">Trapped!G14</f>
        <v>0</v>
      </c>
      <c r="G56" s="61" t="n">
        <f aca="false">Trapped!H14</f>
        <v>-4849.95618144266</v>
      </c>
      <c r="H56" s="61" t="n">
        <f aca="false">Trapped!I14</f>
        <v>-14162.2399115488</v>
      </c>
      <c r="I56" s="61" t="n">
        <f aca="false">Trapped!J14</f>
        <v>-23648.1387461587</v>
      </c>
      <c r="J56" s="61" t="n">
        <f aca="false">Trapped!K14</f>
        <v>-28255.5339453955</v>
      </c>
      <c r="K56" s="61" t="n">
        <f aca="false">Trapped!L14</f>
        <v>-31605.0776920621</v>
      </c>
      <c r="L56" s="61" t="n">
        <f aca="false">Trapped!M14</f>
        <v>-33959.2662015804</v>
      </c>
      <c r="M56" s="61" t="n">
        <f aca="false">Trapped!N14</f>
        <v>-35152.7627082595</v>
      </c>
      <c r="N56" s="61" t="n">
        <f aca="false">Trapped!O14</f>
        <v>-34915.1209049397</v>
      </c>
      <c r="O56" s="61" t="n">
        <f aca="false">Trapped!P14</f>
        <v>-33771.4585512341</v>
      </c>
      <c r="P56" s="61" t="n">
        <f aca="false">Trapped!Q14</f>
        <v>-31732.4704868702</v>
      </c>
      <c r="Q56" s="61" t="n">
        <f aca="false">Trapped!R14</f>
        <v>-28795.7831212089</v>
      </c>
      <c r="R56" s="61" t="n">
        <f aca="false">Trapped!S14</f>
        <v>-24704.0460013683</v>
      </c>
      <c r="S56" s="61" t="n">
        <f aca="false">Trapped!T14</f>
        <v>-20848.8191378128</v>
      </c>
      <c r="T56" s="61" t="n">
        <f aca="false">Trapped!U14</f>
        <v>-15424.1116255605</v>
      </c>
      <c r="U56" s="61" t="n">
        <f aca="false">Trapped!V14</f>
        <v>-9172.27567999704</v>
      </c>
      <c r="V56" s="61" t="n">
        <f aca="false">Trapped!W14</f>
        <v>-2465.99839814895</v>
      </c>
      <c r="W56" s="61" t="n">
        <f aca="false">Trapped!X14</f>
        <v>4150.35970157787</v>
      </c>
      <c r="X56" s="61" t="n">
        <f aca="false">Trapped!Y14</f>
        <v>7581.36886552416</v>
      </c>
      <c r="Y56" s="304" t="n">
        <f aca="false">SUM(D56:X56)</f>
        <v>-361731.330726486</v>
      </c>
    </row>
    <row r="57" customFormat="false" ht="12.75" hidden="false" customHeight="false" outlineLevel="0" collapsed="false">
      <c r="A57" s="37" t="s">
        <v>788</v>
      </c>
      <c r="B57" s="38"/>
      <c r="C57" s="883" t="s">
        <v>789</v>
      </c>
      <c r="D57" s="61" t="n">
        <f aca="false">CF!E51</f>
        <v>0</v>
      </c>
      <c r="E57" s="61" t="n">
        <f aca="false">CF!F51</f>
        <v>0</v>
      </c>
      <c r="F57" s="61" t="n">
        <f aca="false">CF!G51</f>
        <v>-4849.95618144266</v>
      </c>
      <c r="G57" s="61" t="n">
        <f aca="false">CF!H51</f>
        <v>-9312.2837301061</v>
      </c>
      <c r="H57" s="61" t="n">
        <f aca="false">CF!I51</f>
        <v>-9485.89883460989</v>
      </c>
      <c r="I57" s="61" t="n">
        <f aca="false">CF!J51</f>
        <v>-4607.39519923682</v>
      </c>
      <c r="J57" s="61" t="n">
        <f aca="false">CF!K51</f>
        <v>-3349.54374666664</v>
      </c>
      <c r="K57" s="61" t="n">
        <f aca="false">CF!L51</f>
        <v>-2354.1885095183</v>
      </c>
      <c r="L57" s="61" t="n">
        <f aca="false">CF!M51</f>
        <v>-1067.11377141443</v>
      </c>
      <c r="M57" s="61" t="n">
        <f aca="false">CF!N51</f>
        <v>60.3161378040754</v>
      </c>
      <c r="N57" s="61" t="n">
        <f aca="false">CF!O51</f>
        <v>1291.83954834637</v>
      </c>
      <c r="O57" s="61" t="n">
        <f aca="false">CF!P51</f>
        <v>2339.28271358451</v>
      </c>
      <c r="P57" s="61" t="n">
        <f aca="false">CF!Q51</f>
        <v>3708.70153574339</v>
      </c>
      <c r="Q57" s="61" t="n">
        <f aca="false">CF!R51</f>
        <v>5245.1292370969</v>
      </c>
      <c r="R57" s="61" t="n">
        <f aca="false">CF!S51</f>
        <v>5408.58721600442</v>
      </c>
      <c r="S57" s="61" t="n">
        <f aca="false">CF!T51</f>
        <v>7871.15465252329</v>
      </c>
      <c r="T57" s="61" t="n">
        <f aca="false">CF!U51</f>
        <v>9453.10741822491</v>
      </c>
      <c r="U57" s="61" t="n">
        <f aca="false">CF!V51</f>
        <v>10705.3496609782</v>
      </c>
      <c r="V57" s="61" t="n">
        <f aca="false">CF!W51</f>
        <v>11800.8467336138</v>
      </c>
      <c r="W57" s="61" t="n">
        <f aca="false">CF!X51</f>
        <v>12770.8209645409</v>
      </c>
      <c r="X57" s="61" t="n">
        <f aca="false">CF!Y51</f>
        <v>4296.10442124443</v>
      </c>
      <c r="Y57" s="304" t="n">
        <f aca="false">SUM(D57:X57)</f>
        <v>39924.8602667103</v>
      </c>
    </row>
    <row r="58" customFormat="false" ht="12.75" hidden="false" customHeight="false" outlineLevel="0" collapsed="false">
      <c r="A58" s="37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298"/>
    </row>
    <row r="59" customFormat="false" ht="12.75" hidden="false" customHeight="false" outlineLevel="0" collapsed="false">
      <c r="A59" s="37" t="s">
        <v>790</v>
      </c>
      <c r="B59" s="38"/>
      <c r="C59" s="39"/>
      <c r="D59" s="61" t="n">
        <f aca="false">MAX(D56,D57)</f>
        <v>0</v>
      </c>
      <c r="E59" s="61" t="n">
        <f aca="false">MAX(E56,E57)</f>
        <v>0</v>
      </c>
      <c r="F59" s="61" t="n">
        <f aca="false">MAX(F56,F57)</f>
        <v>0</v>
      </c>
      <c r="G59" s="61" t="n">
        <f aca="false">MAX(G56,G57)</f>
        <v>-4849.95618144266</v>
      </c>
      <c r="H59" s="61" t="n">
        <f aca="false">MAX(H56,H57)</f>
        <v>-9485.89883460989</v>
      </c>
      <c r="I59" s="61" t="n">
        <f aca="false">MAX(I56,I57)</f>
        <v>-4607.39519923682</v>
      </c>
      <c r="J59" s="61" t="n">
        <f aca="false">MAX(J56,J57)</f>
        <v>-3349.54374666664</v>
      </c>
      <c r="K59" s="61" t="n">
        <f aca="false">MAX(K56,K57)</f>
        <v>-2354.1885095183</v>
      </c>
      <c r="L59" s="61" t="n">
        <f aca="false">MAX(L56,L57)</f>
        <v>-1067.11377141443</v>
      </c>
      <c r="M59" s="61" t="n">
        <f aca="false">MAX(M56,M57)</f>
        <v>60.3161378040754</v>
      </c>
      <c r="N59" s="61" t="n">
        <f aca="false">MAX(N56,N57)</f>
        <v>1291.83954834637</v>
      </c>
      <c r="O59" s="61" t="n">
        <f aca="false">MAX(O56,O57)</f>
        <v>2339.28271358451</v>
      </c>
      <c r="P59" s="61" t="n">
        <f aca="false">MAX(P56,P57)</f>
        <v>3708.70153574339</v>
      </c>
      <c r="Q59" s="61" t="n">
        <f aca="false">MAX(Q56,Q57)</f>
        <v>5245.1292370969</v>
      </c>
      <c r="R59" s="61" t="n">
        <f aca="false">MAX(R56,R57)</f>
        <v>5408.58721600442</v>
      </c>
      <c r="S59" s="61" t="n">
        <f aca="false">MAX(S56,S57)</f>
        <v>7871.15465252329</v>
      </c>
      <c r="T59" s="61" t="n">
        <f aca="false">MAX(T56,T57)</f>
        <v>9453.10741822491</v>
      </c>
      <c r="U59" s="61" t="n">
        <f aca="false">MAX(U56,U57)</f>
        <v>10705.3496609782</v>
      </c>
      <c r="V59" s="61" t="n">
        <f aca="false">MAX(V56,V57)</f>
        <v>11800.8467336138</v>
      </c>
      <c r="W59" s="61" t="n">
        <f aca="false">MAX(W56,W57)</f>
        <v>12770.8209645409</v>
      </c>
      <c r="X59" s="61" t="n">
        <f aca="false">MAX(X56,X57)</f>
        <v>7581.36886552416</v>
      </c>
      <c r="Y59" s="304" t="n">
        <f aca="false">SUM(D59:X59)</f>
        <v>52522.4084410961</v>
      </c>
    </row>
    <row r="60" customFormat="false" ht="12.75" hidden="false" customHeight="false" outlineLevel="0" collapsed="false">
      <c r="A60" s="37" t="s">
        <v>791</v>
      </c>
      <c r="B60" s="38"/>
      <c r="C60" s="39"/>
      <c r="D60" s="534" t="n">
        <f aca="false">Assm!$I$64</f>
        <v>0.5</v>
      </c>
      <c r="E60" s="534" t="n">
        <f aca="false">Assm!$I$64</f>
        <v>0.5</v>
      </c>
      <c r="F60" s="534" t="n">
        <f aca="false">Assm!$I$64</f>
        <v>0.5</v>
      </c>
      <c r="G60" s="534" t="n">
        <f aca="false">Assm!$I$64</f>
        <v>0.5</v>
      </c>
      <c r="H60" s="534" t="n">
        <f aca="false">Assm!$I$64</f>
        <v>0.5</v>
      </c>
      <c r="I60" s="534" t="n">
        <f aca="false">Assm!$I$64</f>
        <v>0.5</v>
      </c>
      <c r="J60" s="534" t="n">
        <f aca="false">Assm!$I$64</f>
        <v>0.5</v>
      </c>
      <c r="K60" s="534" t="n">
        <f aca="false">Assm!$I$64</f>
        <v>0.5</v>
      </c>
      <c r="L60" s="534" t="n">
        <f aca="false">Assm!$I$64</f>
        <v>0.5</v>
      </c>
      <c r="M60" s="534" t="n">
        <f aca="false">Assm!$I$64</f>
        <v>0.5</v>
      </c>
      <c r="N60" s="534" t="n">
        <f aca="false">Assm!$I$64</f>
        <v>0.5</v>
      </c>
      <c r="O60" s="534" t="n">
        <f aca="false">Assm!$I$64</f>
        <v>0.5</v>
      </c>
      <c r="P60" s="534" t="n">
        <f aca="false">Assm!$I$64</f>
        <v>0.5</v>
      </c>
      <c r="Q60" s="534" t="n">
        <f aca="false">Assm!$I$64</f>
        <v>0.5</v>
      </c>
      <c r="R60" s="534" t="n">
        <f aca="false">Assm!$I$64</f>
        <v>0.5</v>
      </c>
      <c r="S60" s="534" t="n">
        <f aca="false">Assm!$I$64</f>
        <v>0.5</v>
      </c>
      <c r="T60" s="534" t="n">
        <f aca="false">Assm!$I$64</f>
        <v>0.5</v>
      </c>
      <c r="U60" s="534" t="n">
        <f aca="false">Assm!$I$64</f>
        <v>0.5</v>
      </c>
      <c r="V60" s="534" t="n">
        <f aca="false">Assm!$I$64</f>
        <v>0.5</v>
      </c>
      <c r="W60" s="534" t="n">
        <f aca="false">Assm!$I$64</f>
        <v>0.5</v>
      </c>
      <c r="X60" s="534" t="n">
        <f aca="false">Assm!$I$64</f>
        <v>0.5</v>
      </c>
      <c r="Y60" s="418"/>
    </row>
    <row r="61" customFormat="false" ht="12.75" hidden="false" customHeight="false" outlineLevel="0" collapsed="false">
      <c r="A61" s="37" t="s">
        <v>792</v>
      </c>
      <c r="B61" s="311" t="s">
        <v>793</v>
      </c>
      <c r="C61" s="39"/>
      <c r="D61" s="61" t="n">
        <f aca="false">D59*D60</f>
        <v>0</v>
      </c>
      <c r="E61" s="61" t="n">
        <f aca="false">E59*E60</f>
        <v>0</v>
      </c>
      <c r="F61" s="61" t="n">
        <f aca="false">F59*F60</f>
        <v>0</v>
      </c>
      <c r="G61" s="61" t="n">
        <f aca="false">G59*G60</f>
        <v>-2424.97809072133</v>
      </c>
      <c r="H61" s="61" t="n">
        <f aca="false">H59*H60</f>
        <v>-4742.94941730495</v>
      </c>
      <c r="I61" s="61" t="n">
        <f aca="false">I59*I60</f>
        <v>-2303.69759961841</v>
      </c>
      <c r="J61" s="61" t="n">
        <f aca="false">J59*J60</f>
        <v>-1674.77187333332</v>
      </c>
      <c r="K61" s="61" t="n">
        <f aca="false">K59*K60</f>
        <v>-1177.09425475915</v>
      </c>
      <c r="L61" s="61" t="n">
        <f aca="false">L59*L60</f>
        <v>-533.556885707214</v>
      </c>
      <c r="M61" s="61" t="n">
        <f aca="false">M59*M60</f>
        <v>30.1580689020377</v>
      </c>
      <c r="N61" s="61" t="n">
        <f aca="false">N59*N60</f>
        <v>645.919774173186</v>
      </c>
      <c r="O61" s="61" t="n">
        <f aca="false">O59*O60</f>
        <v>1169.64135679225</v>
      </c>
      <c r="P61" s="61" t="n">
        <f aca="false">P59*P60</f>
        <v>1854.3507678717</v>
      </c>
      <c r="Q61" s="61" t="n">
        <f aca="false">Q59*Q60</f>
        <v>2622.56461854845</v>
      </c>
      <c r="R61" s="61" t="n">
        <f aca="false">R59*R60</f>
        <v>2704.29360800221</v>
      </c>
      <c r="S61" s="61" t="n">
        <f aca="false">S59*S60</f>
        <v>3935.57732626164</v>
      </c>
      <c r="T61" s="61" t="n">
        <f aca="false">T59*T60</f>
        <v>4726.55370911245</v>
      </c>
      <c r="U61" s="61" t="n">
        <f aca="false">U59*U60</f>
        <v>5352.67483048909</v>
      </c>
      <c r="V61" s="61" t="n">
        <f aca="false">V59*V60</f>
        <v>5900.42336680691</v>
      </c>
      <c r="W61" s="61" t="n">
        <f aca="false">W59*W60</f>
        <v>6385.41048227043</v>
      </c>
      <c r="X61" s="61" t="n">
        <f aca="false">X59*X60</f>
        <v>3790.68443276208</v>
      </c>
      <c r="Y61" s="304" t="n">
        <f aca="false">SUM(D61:X61)</f>
        <v>26261.2042205481</v>
      </c>
    </row>
    <row r="62" customFormat="false" ht="12.75" hidden="false" customHeight="false" outlineLevel="0" collapsed="false">
      <c r="A62" s="37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298"/>
    </row>
    <row r="63" customFormat="false" ht="13.5" hidden="false" customHeight="false" outlineLevel="0" collapsed="false">
      <c r="A63" s="49" t="s">
        <v>794</v>
      </c>
      <c r="B63" s="884" t="s">
        <v>795</v>
      </c>
      <c r="C63" s="22"/>
      <c r="D63" s="877" t="n">
        <f aca="false">IF(D61&lt;D54,MAX(D61,0),D54)</f>
        <v>0</v>
      </c>
      <c r="E63" s="877" t="n">
        <f aca="false">IF(E61&lt;E54,MAX(E61,0),E54)</f>
        <v>0</v>
      </c>
      <c r="F63" s="877" t="n">
        <f aca="false">IF(F61&lt;F54,MAX(F61,0),F54)</f>
        <v>0</v>
      </c>
      <c r="G63" s="877" t="n">
        <f aca="false">IF(G61&lt;G54,MAX(G61,0),G54)</f>
        <v>0</v>
      </c>
      <c r="H63" s="877" t="n">
        <f aca="false">IF(H61&lt;H54,MAX(H61,0),H54)</f>
        <v>0</v>
      </c>
      <c r="I63" s="877" t="n">
        <f aca="false">IF(I61&lt;I54,MAX(I61,0),I54)</f>
        <v>0</v>
      </c>
      <c r="J63" s="877" t="n">
        <f aca="false">IF(J61&lt;J54,MAX(J61,0),J54)</f>
        <v>0</v>
      </c>
      <c r="K63" s="877" t="n">
        <f aca="false">IF(K61&lt;K54,MAX(K61,0),K54)</f>
        <v>0</v>
      </c>
      <c r="L63" s="877" t="n">
        <f aca="false">IF(L61&lt;L54,MAX(L61,0),L54)</f>
        <v>0</v>
      </c>
      <c r="M63" s="877" t="n">
        <f aca="false">IF(M61&lt;M54,MAX(M61,0),M54)</f>
        <v>-602.224988102776</v>
      </c>
      <c r="N63" s="877" t="n">
        <f aca="false">IF(N61&lt;N54,MAX(N61,0),N54)</f>
        <v>-578.460807770804</v>
      </c>
      <c r="O63" s="877" t="n">
        <f aca="false">IF(O61&lt;O54,MAX(O61,0),O54)</f>
        <v>-464.094572400236</v>
      </c>
      <c r="P63" s="877" t="n">
        <f aca="false">IF(P61&lt;P54,MAX(P61,0),P54)</f>
        <v>-260.195765963851</v>
      </c>
      <c r="Q63" s="877" t="n">
        <f aca="false">IF(Q61&lt;Q54,MAX(Q61,0),Q54)</f>
        <v>33.4729706022816</v>
      </c>
      <c r="R63" s="877" t="n">
        <f aca="false">IF(R61&lt;R54,MAX(R61,0),R54)</f>
        <v>442.646682586344</v>
      </c>
      <c r="S63" s="877" t="n">
        <f aca="false">IF(S61&lt;S54,MAX(S61,0),S54)</f>
        <v>828.169368941894</v>
      </c>
      <c r="T63" s="877" t="n">
        <f aca="false">IF(T61&lt;T54,MAX(T61,0),T54)</f>
        <v>1370.64012016712</v>
      </c>
      <c r="U63" s="877" t="n">
        <f aca="false">IF(U61&lt;U54,MAX(U61,0),U54)</f>
        <v>1995.82371472347</v>
      </c>
      <c r="V63" s="877" t="n">
        <f aca="false">IF(V61&lt;V54,MAX(V61,0),V54)</f>
        <v>2666.45144290828</v>
      </c>
      <c r="W63" s="877" t="n">
        <f aca="false">IF(W61&lt;W54,MAX(W61,0),W54)</f>
        <v>2913.05128272317</v>
      </c>
      <c r="X63" s="877" t="n">
        <f aca="false">IF(X61&lt;X54,MAX(X61,0),X54)</f>
        <v>971.017094241057</v>
      </c>
      <c r="Y63" s="878" t="n">
        <f aca="false">SUM(D63:X63)</f>
        <v>9316.29654265595</v>
      </c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30.7"/>
    <col collapsed="false" customWidth="true" hidden="false" outlineLevel="0" max="2" min="2" style="1" width="18.7"/>
    <col collapsed="false" customWidth="true" hidden="false" outlineLevel="0" max="3" min="3" style="1" width="3.7"/>
    <col collapsed="false" customWidth="true" hidden="false" outlineLevel="0" max="24" min="4" style="1" width="10.71"/>
    <col collapsed="false" customWidth="true" hidden="false" outlineLevel="0" max="25" min="25" style="39" width="10.71"/>
    <col collapsed="false" customWidth="false" hidden="false" outlineLevel="0" max="257" min="26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116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116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69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73"/>
      <c r="W3" s="473"/>
      <c r="X3" s="473"/>
      <c r="Y3" s="116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796</v>
      </c>
      <c r="B4" s="885"/>
      <c r="C4" s="15"/>
      <c r="D4" s="108"/>
      <c r="E4" s="469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116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352"/>
      <c r="AA5" s="540" t="s">
        <v>319</v>
      </c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13" t="n">
        <f aca="false">CF!E6</f>
        <v>1</v>
      </c>
      <c r="E6" s="213" t="n">
        <f aca="false">CF!F6</f>
        <v>2</v>
      </c>
      <c r="F6" s="213" t="n">
        <f aca="false">CF!G6</f>
        <v>3</v>
      </c>
      <c r="G6" s="213" t="n">
        <f aca="false">CF!H6</f>
        <v>4</v>
      </c>
      <c r="H6" s="213" t="n">
        <f aca="false">CF!I6</f>
        <v>5</v>
      </c>
      <c r="I6" s="213" t="n">
        <f aca="false">CF!J6</f>
        <v>6</v>
      </c>
      <c r="J6" s="213" t="n">
        <f aca="false">CF!K6</f>
        <v>7</v>
      </c>
      <c r="K6" s="213" t="n">
        <f aca="false">CF!L6</f>
        <v>8</v>
      </c>
      <c r="L6" s="213" t="n">
        <f aca="false">CF!M6</f>
        <v>9</v>
      </c>
      <c r="M6" s="213" t="n">
        <f aca="false">CF!N6</f>
        <v>10</v>
      </c>
      <c r="N6" s="213" t="n">
        <f aca="false">CF!O6</f>
        <v>11</v>
      </c>
      <c r="O6" s="213" t="n">
        <f aca="false">CF!P6</f>
        <v>12</v>
      </c>
      <c r="P6" s="213" t="n">
        <f aca="false">CF!Q6</f>
        <v>13</v>
      </c>
      <c r="Q6" s="213" t="n">
        <f aca="false">CF!R6</f>
        <v>14</v>
      </c>
      <c r="R6" s="213" t="n">
        <f aca="false">CF!S6</f>
        <v>15</v>
      </c>
      <c r="S6" s="213" t="n">
        <f aca="false">CF!T6</f>
        <v>16</v>
      </c>
      <c r="T6" s="213" t="n">
        <f aca="false">CF!U6</f>
        <v>17</v>
      </c>
      <c r="U6" s="213" t="n">
        <f aca="false">CF!V6</f>
        <v>18</v>
      </c>
      <c r="V6" s="213" t="n">
        <f aca="false">CF!W6</f>
        <v>19</v>
      </c>
      <c r="W6" s="213" t="n">
        <f aca="false">CF!X6</f>
        <v>20</v>
      </c>
      <c r="X6" s="213" t="n">
        <f aca="false">CF!Y6</f>
        <v>21</v>
      </c>
      <c r="Y6" s="287"/>
      <c r="Z6" s="39"/>
      <c r="AA6" s="288" t="s">
        <v>797</v>
      </c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322</v>
      </c>
      <c r="B7" s="22"/>
      <c r="C7" s="22"/>
      <c r="D7" s="547" t="n">
        <f aca="false">CF!E7</f>
        <v>1999</v>
      </c>
      <c r="E7" s="547" t="n">
        <f aca="false">CF!F7</f>
        <v>2000</v>
      </c>
      <c r="F7" s="547" t="n">
        <f aca="false">CF!G7</f>
        <v>2001</v>
      </c>
      <c r="G7" s="547" t="n">
        <f aca="false">CF!H7</f>
        <v>2002</v>
      </c>
      <c r="H7" s="547" t="n">
        <f aca="false">CF!I7</f>
        <v>2003</v>
      </c>
      <c r="I7" s="547" t="n">
        <f aca="false">CF!J7</f>
        <v>2004</v>
      </c>
      <c r="J7" s="547" t="n">
        <f aca="false">CF!K7</f>
        <v>2005</v>
      </c>
      <c r="K7" s="547" t="n">
        <f aca="false">CF!L7</f>
        <v>2006</v>
      </c>
      <c r="L7" s="547" t="n">
        <f aca="false">CF!M7</f>
        <v>2007</v>
      </c>
      <c r="M7" s="547" t="n">
        <f aca="false">CF!N7</f>
        <v>2008</v>
      </c>
      <c r="N7" s="547" t="n">
        <f aca="false">CF!O7</f>
        <v>2009</v>
      </c>
      <c r="O7" s="547" t="n">
        <f aca="false">CF!P7</f>
        <v>2010</v>
      </c>
      <c r="P7" s="547" t="n">
        <f aca="false">CF!Q7</f>
        <v>2011</v>
      </c>
      <c r="Q7" s="547" t="n">
        <f aca="false">CF!R7</f>
        <v>2012</v>
      </c>
      <c r="R7" s="547" t="n">
        <f aca="false">CF!S7</f>
        <v>2013</v>
      </c>
      <c r="S7" s="547" t="n">
        <f aca="false">CF!T7</f>
        <v>2014</v>
      </c>
      <c r="T7" s="547" t="n">
        <f aca="false">CF!U7</f>
        <v>2015</v>
      </c>
      <c r="U7" s="547" t="n">
        <f aca="false">CF!V7</f>
        <v>2016</v>
      </c>
      <c r="V7" s="547" t="n">
        <f aca="false">CF!W7</f>
        <v>2017</v>
      </c>
      <c r="W7" s="547" t="n">
        <f aca="false">CF!X7</f>
        <v>2018</v>
      </c>
      <c r="X7" s="547" t="n">
        <f aca="false">CF!Y7</f>
        <v>2019</v>
      </c>
      <c r="Y7" s="293" t="s">
        <v>718</v>
      </c>
      <c r="Z7" s="39"/>
      <c r="AA7" s="77" t="n">
        <v>1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85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298"/>
      <c r="AA8" s="136" t="n">
        <f aca="false">AA7+1</f>
        <v>2</v>
      </c>
    </row>
    <row r="9" customFormat="false" ht="12.75" hidden="false" customHeight="false" outlineLevel="0" collapsed="false">
      <c r="A9" s="37" t="s">
        <v>423</v>
      </c>
      <c r="B9" s="39"/>
      <c r="C9" s="39"/>
      <c r="D9" s="39" t="n">
        <f aca="false">CF!E9</f>
        <v>0</v>
      </c>
      <c r="E9" s="39" t="n">
        <f aca="false">CF!F9</f>
        <v>0</v>
      </c>
      <c r="F9" s="39" t="n">
        <f aca="false">CF!G9</f>
        <v>10</v>
      </c>
      <c r="G9" s="39" t="n">
        <f aca="false">CF!H9</f>
        <v>12</v>
      </c>
      <c r="H9" s="39" t="n">
        <f aca="false">CF!I9</f>
        <v>12</v>
      </c>
      <c r="I9" s="39" t="n">
        <f aca="false">CF!J9</f>
        <v>12</v>
      </c>
      <c r="J9" s="39" t="n">
        <f aca="false">CF!K9</f>
        <v>12</v>
      </c>
      <c r="K9" s="39" t="n">
        <f aca="false">CF!L9</f>
        <v>12</v>
      </c>
      <c r="L9" s="39" t="n">
        <f aca="false">CF!M9</f>
        <v>12</v>
      </c>
      <c r="M9" s="39" t="n">
        <f aca="false">CF!N9</f>
        <v>12</v>
      </c>
      <c r="N9" s="39" t="n">
        <f aca="false">CF!O9</f>
        <v>12</v>
      </c>
      <c r="O9" s="39" t="n">
        <f aca="false">CF!P9</f>
        <v>12</v>
      </c>
      <c r="P9" s="39" t="n">
        <f aca="false">CF!Q9</f>
        <v>12</v>
      </c>
      <c r="Q9" s="39" t="n">
        <f aca="false">CF!R9</f>
        <v>12</v>
      </c>
      <c r="R9" s="39" t="n">
        <f aca="false">CF!S9</f>
        <v>12</v>
      </c>
      <c r="S9" s="39" t="n">
        <f aca="false">CF!T9</f>
        <v>12</v>
      </c>
      <c r="T9" s="39" t="n">
        <f aca="false">CF!U9</f>
        <v>12</v>
      </c>
      <c r="U9" s="39" t="n">
        <f aca="false">CF!V9</f>
        <v>12</v>
      </c>
      <c r="V9" s="39" t="n">
        <f aca="false">CF!W9</f>
        <v>12</v>
      </c>
      <c r="W9" s="39" t="n">
        <f aca="false">CF!X9</f>
        <v>12</v>
      </c>
      <c r="X9" s="39" t="n">
        <f aca="false">CF!Y9</f>
        <v>4</v>
      </c>
      <c r="Y9" s="298" t="n">
        <f aca="false">CF!Z9</f>
        <v>218</v>
      </c>
      <c r="Z9" s="39"/>
      <c r="AA9" s="136" t="n">
        <f aca="false">AA8+1</f>
        <v>3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298"/>
      <c r="AA10" s="136" t="n">
        <f aca="false">AA9+1</f>
        <v>4</v>
      </c>
    </row>
    <row r="11" customFormat="false" ht="12.75" hidden="false" customHeight="false" outlineLevel="0" collapsed="false">
      <c r="A11" s="303" t="s">
        <v>798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298"/>
      <c r="Z11" s="39"/>
      <c r="AA11" s="136" t="n">
        <f aca="false">AA10+1</f>
        <v>5</v>
      </c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114" t="s">
        <v>799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298"/>
      <c r="Z12" s="39"/>
      <c r="AA12" s="136" t="n">
        <f aca="false">AA11+1</f>
        <v>6</v>
      </c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800</v>
      </c>
      <c r="B13" s="39"/>
      <c r="C13" s="39"/>
      <c r="D13" s="61" t="n">
        <f aca="false">CF!E43</f>
        <v>0</v>
      </c>
      <c r="E13" s="61" t="n">
        <f aca="false">CF!F43</f>
        <v>0</v>
      </c>
      <c r="F13" s="61" t="n">
        <f aca="false">CF!G43</f>
        <v>5065.69806652947</v>
      </c>
      <c r="G13" s="61" t="n">
        <f aca="false">CF!H43</f>
        <v>8103.02736870335</v>
      </c>
      <c r="H13" s="61" t="n">
        <f aca="false">CF!I43</f>
        <v>7652.96520800094</v>
      </c>
      <c r="I13" s="61" t="n">
        <f aca="false">CF!J43</f>
        <v>12076.0963752407</v>
      </c>
      <c r="J13" s="61" t="n">
        <f aca="false">CF!K43</f>
        <v>12539.6692530351</v>
      </c>
      <c r="K13" s="61" t="n">
        <f aca="false">CF!L43</f>
        <v>12569.1594367273</v>
      </c>
      <c r="L13" s="61" t="n">
        <f aca="false">CF!M43</f>
        <v>12751.9606758467</v>
      </c>
      <c r="M13" s="61" t="n">
        <f aca="false">CF!N43</f>
        <v>12715.0533450063</v>
      </c>
      <c r="N13" s="61" t="n">
        <f aca="false">CF!O43</f>
        <v>13083.3381152017</v>
      </c>
      <c r="O13" s="61" t="n">
        <f aca="false">CF!P43</f>
        <v>13341.8334294997</v>
      </c>
      <c r="P13" s="61" t="n">
        <f aca="false">CF!Q43</f>
        <v>13880.4196620209</v>
      </c>
      <c r="Q13" s="61" t="n">
        <f aca="false">CF!R43</f>
        <v>14371.6797688588</v>
      </c>
      <c r="R13" s="61" t="n">
        <f aca="false">CF!S43</f>
        <v>13501.5871785154</v>
      </c>
      <c r="S13" s="61" t="n">
        <f aca="false">CF!T43</f>
        <v>15264.8177623756</v>
      </c>
      <c r="T13" s="61" t="n">
        <f aca="false">CF!U43</f>
        <v>16100.3956245364</v>
      </c>
      <c r="U13" s="61" t="n">
        <f aca="false">CF!V43</f>
        <v>17025.9498931628</v>
      </c>
      <c r="V13" s="61" t="n">
        <f aca="false">CF!W43</f>
        <v>18121.4469657984</v>
      </c>
      <c r="W13" s="61" t="n">
        <f aca="false">CF!X43</f>
        <v>19091.4211967255</v>
      </c>
      <c r="X13" s="61" t="n">
        <f aca="false">CF!Y43</f>
        <v>6402.97116530597</v>
      </c>
      <c r="Y13" s="304" t="n">
        <f aca="false">SUM(D13:X13)</f>
        <v>243659.490491091</v>
      </c>
      <c r="Z13" s="39"/>
      <c r="AA13" s="136" t="n">
        <f aca="false">AA12+1</f>
        <v>7</v>
      </c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37" t="s">
        <v>801</v>
      </c>
      <c r="B14" s="39"/>
      <c r="C14" s="39"/>
      <c r="D14" s="61" t="n">
        <f aca="false">Trapped!F65</f>
        <v>0</v>
      </c>
      <c r="E14" s="61" t="n">
        <f aca="false">Trapped!G65</f>
        <v>0</v>
      </c>
      <c r="F14" s="61" t="n">
        <f aca="false">Trapped!H65</f>
        <v>0</v>
      </c>
      <c r="G14" s="61" t="n">
        <f aca="false">Trapped!I65</f>
        <v>0</v>
      </c>
      <c r="H14" s="61" t="n">
        <f aca="false">Trapped!J65</f>
        <v>0</v>
      </c>
      <c r="I14" s="61" t="n">
        <f aca="false">Trapped!K65</f>
        <v>0</v>
      </c>
      <c r="J14" s="61" t="n">
        <f aca="false">Trapped!L65</f>
        <v>0</v>
      </c>
      <c r="K14" s="61" t="n">
        <f aca="false">Trapped!M65</f>
        <v>0</v>
      </c>
      <c r="L14" s="61" t="n">
        <f aca="false">Trapped!N65</f>
        <v>0</v>
      </c>
      <c r="M14" s="61" t="n">
        <f aca="false">Trapped!O65</f>
        <v>0</v>
      </c>
      <c r="N14" s="61" t="n">
        <f aca="false">Trapped!P65</f>
        <v>0</v>
      </c>
      <c r="O14" s="61" t="n">
        <f aca="false">Trapped!Q65</f>
        <v>0</v>
      </c>
      <c r="P14" s="61" t="n">
        <f aca="false">Trapped!R65</f>
        <v>0</v>
      </c>
      <c r="Q14" s="61" t="n">
        <f aca="false">Trapped!S65</f>
        <v>0</v>
      </c>
      <c r="R14" s="61" t="n">
        <f aca="false">Trapped!T65</f>
        <v>0</v>
      </c>
      <c r="S14" s="61" t="n">
        <f aca="false">Trapped!U65</f>
        <v>0</v>
      </c>
      <c r="T14" s="61" t="n">
        <f aca="false">Trapped!V65</f>
        <v>0</v>
      </c>
      <c r="U14" s="61" t="n">
        <f aca="false">Trapped!W65</f>
        <v>0</v>
      </c>
      <c r="V14" s="61" t="n">
        <f aca="false">Trapped!X65</f>
        <v>0</v>
      </c>
      <c r="W14" s="61" t="n">
        <f aca="false">Trapped!Y65</f>
        <v>0</v>
      </c>
      <c r="X14" s="61" t="n">
        <f aca="false">Trapped!Z65</f>
        <v>0</v>
      </c>
      <c r="Y14" s="304" t="n">
        <f aca="false">SUM(D14:X14)</f>
        <v>0</v>
      </c>
      <c r="AA14" s="136" t="n">
        <f aca="false">AA13+1</f>
        <v>8</v>
      </c>
    </row>
    <row r="15" customFormat="false" ht="12.75" hidden="false" customHeight="false" outlineLevel="0" collapsed="false">
      <c r="A15" s="186" t="s">
        <v>802</v>
      </c>
      <c r="B15" s="182"/>
      <c r="C15" s="182"/>
      <c r="D15" s="61" t="n">
        <f aca="false">-Depr!H21</f>
        <v>-0</v>
      </c>
      <c r="E15" s="61" t="n">
        <f aca="false">-Depr!I21</f>
        <v>-0</v>
      </c>
      <c r="F15" s="61" t="n">
        <f aca="false">-Depr!J21</f>
        <v>-5267.16686015385</v>
      </c>
      <c r="G15" s="61" t="n">
        <f aca="false">-Depr!K21</f>
        <v>-6320.60023218462</v>
      </c>
      <c r="H15" s="61" t="n">
        <f aca="false">-Depr!L21</f>
        <v>-6320.60023218462</v>
      </c>
      <c r="I15" s="61" t="n">
        <f aca="false">-Depr!M21</f>
        <v>-6320.60023218462</v>
      </c>
      <c r="J15" s="61" t="n">
        <f aca="false">-Depr!N21</f>
        <v>-6320.60023218462</v>
      </c>
      <c r="K15" s="61" t="n">
        <f aca="false">-Depr!O21</f>
        <v>-6320.60023218462</v>
      </c>
      <c r="L15" s="61" t="n">
        <f aca="false">-Depr!P21</f>
        <v>-6320.60023218462</v>
      </c>
      <c r="M15" s="61" t="n">
        <f aca="false">-Depr!Q21</f>
        <v>-6320.60023218462</v>
      </c>
      <c r="N15" s="61" t="n">
        <f aca="false">-Depr!R21</f>
        <v>-6320.60023218462</v>
      </c>
      <c r="O15" s="61" t="n">
        <f aca="false">-Depr!S21</f>
        <v>-6320.60023218462</v>
      </c>
      <c r="P15" s="61" t="n">
        <f aca="false">-Depr!T21</f>
        <v>-6320.60023218462</v>
      </c>
      <c r="Q15" s="61" t="n">
        <f aca="false">-Depr!U21</f>
        <v>-6320.60023218462</v>
      </c>
      <c r="R15" s="61" t="n">
        <f aca="false">-Depr!V21</f>
        <v>-6320.60023218462</v>
      </c>
      <c r="S15" s="61" t="n">
        <f aca="false">-Depr!W21</f>
        <v>-6320.60023218462</v>
      </c>
      <c r="T15" s="61" t="n">
        <f aca="false">-Depr!X21</f>
        <v>-6320.60023218462</v>
      </c>
      <c r="U15" s="61" t="n">
        <f aca="false">-Depr!Y21</f>
        <v>-6320.60023218462</v>
      </c>
      <c r="V15" s="61" t="n">
        <f aca="false">-Depr!Z21</f>
        <v>-6320.60023218462</v>
      </c>
      <c r="W15" s="61" t="n">
        <f aca="false">-Depr!AA21</f>
        <v>-6320.60023218462</v>
      </c>
      <c r="X15" s="61" t="n">
        <f aca="false">-Depr!AB21</f>
        <v>-2106.86674406154</v>
      </c>
      <c r="Y15" s="304" t="n">
        <f aca="false">SUM(D15:X15)</f>
        <v>-114824.237551354</v>
      </c>
      <c r="Z15" s="39"/>
      <c r="AA15" s="136" t="n">
        <f aca="false">AA14+1</f>
        <v>9</v>
      </c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12.75" hidden="false" customHeight="false" outlineLevel="0" collapsed="false">
      <c r="A16" s="313" t="s">
        <v>803</v>
      </c>
      <c r="B16" s="182"/>
      <c r="C16" s="182"/>
      <c r="D16" s="61" t="n">
        <f aca="false">CF!E47</f>
        <v>-0</v>
      </c>
      <c r="E16" s="61" t="n">
        <f aca="false">CF!F47</f>
        <v>-0</v>
      </c>
      <c r="F16" s="61" t="n">
        <f aca="false">CF!G47</f>
        <v>-3484.30006534666</v>
      </c>
      <c r="G16" s="61" t="n">
        <f aca="false">CF!H47</f>
        <v>-8330.96444278677</v>
      </c>
      <c r="H16" s="61" t="n">
        <f aca="false">CF!I47</f>
        <v>-8183.73683679701</v>
      </c>
      <c r="I16" s="61" t="n">
        <f aca="false">CF!J47</f>
        <v>-7874.92829957685</v>
      </c>
      <c r="J16" s="61" t="n">
        <f aca="false">CF!K47</f>
        <v>-7246.88619934103</v>
      </c>
      <c r="K16" s="61" t="n">
        <f aca="false">CF!L47</f>
        <v>-6469.57071121993</v>
      </c>
      <c r="L16" s="61" t="n">
        <f aca="false">CF!M47</f>
        <v>-5579.15484297768</v>
      </c>
      <c r="M16" s="61" t="n">
        <f aca="false">CF!N47</f>
        <v>-4657.38027414731</v>
      </c>
      <c r="N16" s="61" t="n">
        <f aca="false">CF!O47</f>
        <v>-4069.26227957454</v>
      </c>
      <c r="O16" s="61" t="n">
        <f aca="false">CF!P47</f>
        <v>-3592.36314308763</v>
      </c>
      <c r="P16" s="61" t="n">
        <f aca="false">CF!Q47</f>
        <v>-3115.46400660072</v>
      </c>
      <c r="Q16" s="61" t="n">
        <f aca="false">CF!R47</f>
        <v>-2471.73658298501</v>
      </c>
      <c r="R16" s="61" t="n">
        <f aca="false">CF!S47</f>
        <v>-1772.39973032637</v>
      </c>
      <c r="S16" s="61" t="n">
        <f aca="false">CF!T47</f>
        <v>-1073.06287766773</v>
      </c>
      <c r="T16" s="61" t="n">
        <f aca="false">CF!U47</f>
        <v>-326.687974126908</v>
      </c>
      <c r="U16" s="61" t="n">
        <f aca="false">CF!V47</f>
        <v>-0</v>
      </c>
      <c r="V16" s="61" t="n">
        <f aca="false">CF!W47</f>
        <v>-0</v>
      </c>
      <c r="W16" s="61" t="n">
        <f aca="false">CF!X47</f>
        <v>-0</v>
      </c>
      <c r="X16" s="61" t="n">
        <f aca="false">CF!Y47</f>
        <v>-0</v>
      </c>
      <c r="Y16" s="304" t="n">
        <f aca="false">SUM(D16:X16)</f>
        <v>-68247.8982665621</v>
      </c>
      <c r="Z16" s="39"/>
      <c r="AA16" s="136" t="n">
        <f aca="false">AA15+1</f>
        <v>10</v>
      </c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313" t="s">
        <v>349</v>
      </c>
      <c r="B17" s="182"/>
      <c r="C17" s="182"/>
      <c r="D17" s="61" t="n">
        <f aca="false">CF!E49</f>
        <v>-0</v>
      </c>
      <c r="E17" s="61" t="n">
        <f aca="false">CF!F49</f>
        <v>-0</v>
      </c>
      <c r="F17" s="61" t="n">
        <f aca="false">CF!G49</f>
        <v>-0</v>
      </c>
      <c r="G17" s="61" t="n">
        <f aca="false">CF!H49</f>
        <v>-0</v>
      </c>
      <c r="H17" s="61" t="n">
        <f aca="false">CF!I49</f>
        <v>-0</v>
      </c>
      <c r="I17" s="61" t="n">
        <f aca="false">CF!J49</f>
        <v>-0</v>
      </c>
      <c r="J17" s="61" t="n">
        <f aca="false">CF!K49</f>
        <v>-0</v>
      </c>
      <c r="K17" s="61" t="n">
        <f aca="false">CF!L49</f>
        <v>-0</v>
      </c>
      <c r="L17" s="61" t="n">
        <f aca="false">CF!M49</f>
        <v>-0</v>
      </c>
      <c r="M17" s="61" t="n">
        <f aca="false">CF!N49</f>
        <v>-0</v>
      </c>
      <c r="N17" s="61" t="n">
        <f aca="false">CF!O49</f>
        <v>-0</v>
      </c>
      <c r="O17" s="61" t="n">
        <f aca="false">CF!P49</f>
        <v>-0</v>
      </c>
      <c r="P17" s="61" t="n">
        <f aca="false">CF!Q49</f>
        <v>-0</v>
      </c>
      <c r="Q17" s="61" t="n">
        <f aca="false">CF!R49</f>
        <v>-0</v>
      </c>
      <c r="R17" s="61" t="n">
        <f aca="false">CF!S49</f>
        <v>-0</v>
      </c>
      <c r="S17" s="61" t="n">
        <f aca="false">CF!T49</f>
        <v>-0</v>
      </c>
      <c r="T17" s="61" t="n">
        <f aca="false">CF!U49</f>
        <v>-0</v>
      </c>
      <c r="U17" s="61" t="n">
        <f aca="false">CF!V49</f>
        <v>-0</v>
      </c>
      <c r="V17" s="61" t="n">
        <f aca="false">CF!W49</f>
        <v>-0</v>
      </c>
      <c r="W17" s="61" t="n">
        <f aca="false">CF!X49</f>
        <v>-0</v>
      </c>
      <c r="X17" s="61" t="n">
        <f aca="false">CF!Y49</f>
        <v>-0</v>
      </c>
      <c r="Y17" s="304" t="n">
        <f aca="false">SUM(D17:X17)</f>
        <v>0</v>
      </c>
      <c r="Z17" s="39"/>
      <c r="AA17" s="136" t="n">
        <f aca="false">AA16+1</f>
        <v>11</v>
      </c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313" t="s">
        <v>762</v>
      </c>
      <c r="B18" s="182"/>
      <c r="C18" s="182"/>
      <c r="D18" s="306" t="n">
        <f aca="false">CF!E52</f>
        <v>-0</v>
      </c>
      <c r="E18" s="306" t="n">
        <f aca="false">CF!F52</f>
        <v>-0</v>
      </c>
      <c r="F18" s="306" t="n">
        <f aca="false">CF!G52</f>
        <v>-0</v>
      </c>
      <c r="G18" s="306" t="n">
        <f aca="false">CF!H52</f>
        <v>-0</v>
      </c>
      <c r="H18" s="306" t="n">
        <f aca="false">CF!I52</f>
        <v>-0</v>
      </c>
      <c r="I18" s="306" t="n">
        <f aca="false">CF!J52</f>
        <v>-0</v>
      </c>
      <c r="J18" s="306" t="n">
        <f aca="false">CF!K52</f>
        <v>-0</v>
      </c>
      <c r="K18" s="306" t="n">
        <f aca="false">CF!L52</f>
        <v>-0</v>
      </c>
      <c r="L18" s="306" t="n">
        <f aca="false">CF!M52</f>
        <v>-0</v>
      </c>
      <c r="M18" s="306" t="n">
        <f aca="false">CF!N52</f>
        <v>602.224988102776</v>
      </c>
      <c r="N18" s="306" t="n">
        <f aca="false">CF!O52</f>
        <v>578.460807770804</v>
      </c>
      <c r="O18" s="306" t="n">
        <f aca="false">CF!P52</f>
        <v>464.094572400236</v>
      </c>
      <c r="P18" s="306" t="n">
        <f aca="false">CF!Q52</f>
        <v>260.195765963851</v>
      </c>
      <c r="Q18" s="306" t="n">
        <f aca="false">CF!R52</f>
        <v>-33.4729706022816</v>
      </c>
      <c r="R18" s="306" t="n">
        <f aca="false">CF!S52</f>
        <v>-442.646682586344</v>
      </c>
      <c r="S18" s="306" t="n">
        <f aca="false">CF!T52</f>
        <v>-828.169368941894</v>
      </c>
      <c r="T18" s="306" t="n">
        <f aca="false">CF!U52</f>
        <v>-1370.64012016712</v>
      </c>
      <c r="U18" s="306" t="n">
        <f aca="false">CF!V52</f>
        <v>-1995.82371472347</v>
      </c>
      <c r="V18" s="306" t="n">
        <f aca="false">CF!W52</f>
        <v>-2666.45144290828</v>
      </c>
      <c r="W18" s="306" t="n">
        <f aca="false">CF!X52</f>
        <v>-2913.05128272317</v>
      </c>
      <c r="X18" s="306" t="n">
        <f aca="false">CF!Y52</f>
        <v>-971.017094241057</v>
      </c>
      <c r="Y18" s="307" t="n">
        <f aca="false">SUM(D18:X18)</f>
        <v>-9316.29654265595</v>
      </c>
      <c r="Z18" s="39"/>
      <c r="AA18" s="136" t="n">
        <f aca="false">AA17+1</f>
        <v>12</v>
      </c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37" t="s">
        <v>804</v>
      </c>
      <c r="B19" s="39"/>
      <c r="C19" s="39"/>
      <c r="D19" s="61" t="n">
        <f aca="false">SUM(D13:D18)</f>
        <v>0</v>
      </c>
      <c r="E19" s="61" t="n">
        <f aca="false">SUM(E13:E18)</f>
        <v>0</v>
      </c>
      <c r="F19" s="61" t="n">
        <f aca="false">SUM(F13:F18)</f>
        <v>-3685.76885897104</v>
      </c>
      <c r="G19" s="61" t="n">
        <f aca="false">SUM(G13:G18)</f>
        <v>-6548.53730626805</v>
      </c>
      <c r="H19" s="61" t="n">
        <f aca="false">SUM(H13:H18)</f>
        <v>-6851.37186098069</v>
      </c>
      <c r="I19" s="61" t="n">
        <f aca="false">SUM(I13:I18)</f>
        <v>-2119.43215652075</v>
      </c>
      <c r="J19" s="61" t="n">
        <f aca="false">SUM(J13:J18)</f>
        <v>-1027.81717849052</v>
      </c>
      <c r="K19" s="61" t="n">
        <f aca="false">SUM(K13:K18)</f>
        <v>-221.011506677251</v>
      </c>
      <c r="L19" s="61" t="n">
        <f aca="false">SUM(L13:L18)</f>
        <v>852.205600684444</v>
      </c>
      <c r="M19" s="61" t="n">
        <f aca="false">SUM(M13:M18)</f>
        <v>2339.29782677718</v>
      </c>
      <c r="N19" s="61" t="n">
        <f aca="false">SUM(N13:N18)</f>
        <v>3271.93641121331</v>
      </c>
      <c r="O19" s="61" t="n">
        <f aca="false">SUM(O13:O18)</f>
        <v>3892.96462662764</v>
      </c>
      <c r="P19" s="61" t="n">
        <f aca="false">SUM(P13:P18)</f>
        <v>4704.55118919942</v>
      </c>
      <c r="Q19" s="61" t="n">
        <f aca="false">SUM(Q13:Q18)</f>
        <v>5545.86998308692</v>
      </c>
      <c r="R19" s="61" t="n">
        <f aca="false">SUM(R13:R18)</f>
        <v>4965.94053341808</v>
      </c>
      <c r="S19" s="61" t="n">
        <f aca="false">SUM(S13:S18)</f>
        <v>7042.98528358139</v>
      </c>
      <c r="T19" s="61" t="n">
        <f aca="false">SUM(T13:T18)</f>
        <v>8082.46729805778</v>
      </c>
      <c r="U19" s="61" t="n">
        <f aca="false">SUM(U13:U18)</f>
        <v>8709.52594625471</v>
      </c>
      <c r="V19" s="61" t="n">
        <f aca="false">SUM(V13:V18)</f>
        <v>9134.39529070554</v>
      </c>
      <c r="W19" s="61" t="n">
        <f aca="false">SUM(W13:W18)</f>
        <v>9857.76968181769</v>
      </c>
      <c r="X19" s="61" t="n">
        <f aca="false">SUM(X13:X18)</f>
        <v>3325.08732700337</v>
      </c>
      <c r="Y19" s="304" t="n">
        <f aca="false">SUM(D19:X19)</f>
        <v>51271.0581305192</v>
      </c>
      <c r="Z19" s="39"/>
      <c r="AA19" s="136" t="n">
        <f aca="false">AA18+1</f>
        <v>13</v>
      </c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12.75" hidden="false" customHeight="false" outlineLevel="0" collapsed="false">
      <c r="A20" s="37" t="s">
        <v>805</v>
      </c>
      <c r="B20" s="136" t="s">
        <v>806</v>
      </c>
      <c r="C20" s="39"/>
      <c r="D20" s="306" t="n">
        <f aca="false">-D$26</f>
        <v>-0</v>
      </c>
      <c r="E20" s="306" t="n">
        <f aca="false">-E$26</f>
        <v>-0</v>
      </c>
      <c r="F20" s="306" t="n">
        <f aca="false">-F$26</f>
        <v>-0</v>
      </c>
      <c r="G20" s="306" t="n">
        <f aca="false">-G$26</f>
        <v>-0</v>
      </c>
      <c r="H20" s="306" t="n">
        <f aca="false">-H$26</f>
        <v>-0</v>
      </c>
      <c r="I20" s="306" t="n">
        <f aca="false">-I$26</f>
        <v>-0</v>
      </c>
      <c r="J20" s="306" t="n">
        <f aca="false">-J$26</f>
        <v>-0</v>
      </c>
      <c r="K20" s="306" t="n">
        <f aca="false">-K$26</f>
        <v>-0</v>
      </c>
      <c r="L20" s="306" t="n">
        <f aca="false">-L$26</f>
        <v>-255.661680205333</v>
      </c>
      <c r="M20" s="306" t="n">
        <f aca="false">-M$26</f>
        <v>-701.789348033154</v>
      </c>
      <c r="N20" s="306" t="n">
        <f aca="false">-N$26</f>
        <v>-981.580923363993</v>
      </c>
      <c r="O20" s="306" t="n">
        <f aca="false">-O$26</f>
        <v>-1167.88938798829</v>
      </c>
      <c r="P20" s="306" t="n">
        <f aca="false">-P$26</f>
        <v>-1411.36535675983</v>
      </c>
      <c r="Q20" s="306" t="n">
        <f aca="false">-Q$26</f>
        <v>-1663.76099492608</v>
      </c>
      <c r="R20" s="306" t="n">
        <f aca="false">-R$26</f>
        <v>-1489.78216002542</v>
      </c>
      <c r="S20" s="306" t="n">
        <f aca="false">-S$26</f>
        <v>-2112.89558507442</v>
      </c>
      <c r="T20" s="306" t="n">
        <f aca="false">-T$26</f>
        <v>-2424.74018941733</v>
      </c>
      <c r="U20" s="306" t="n">
        <f aca="false">-U$26</f>
        <v>-2612.85778387641</v>
      </c>
      <c r="V20" s="306" t="n">
        <f aca="false">-V$26</f>
        <v>-2740.31858721166</v>
      </c>
      <c r="W20" s="306" t="n">
        <f aca="false">-W$26</f>
        <v>-2891.29687102637</v>
      </c>
      <c r="X20" s="306" t="n">
        <f aca="false">-X$26</f>
        <v>0</v>
      </c>
      <c r="Y20" s="307"/>
      <c r="Z20" s="39"/>
      <c r="AA20" s="136" t="n">
        <f aca="false">AA19+1</f>
        <v>14</v>
      </c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.75" hidden="false" customHeight="false" outlineLevel="0" collapsed="false">
      <c r="A21" s="37" t="s">
        <v>807</v>
      </c>
      <c r="B21" s="39"/>
      <c r="C21" s="39"/>
      <c r="D21" s="61" t="n">
        <f aca="false">IF(D19&lt;0,0,SUM(D19:D20))</f>
        <v>0</v>
      </c>
      <c r="E21" s="61" t="n">
        <f aca="false">IF(E19&lt;0,0,SUM(E19:E20))</f>
        <v>0</v>
      </c>
      <c r="F21" s="61" t="n">
        <f aca="false">IF(F19&lt;0,0,SUM(F19:F20))</f>
        <v>0</v>
      </c>
      <c r="G21" s="61" t="n">
        <f aca="false">IF(G19&lt;0,0,SUM(G19:G20))</f>
        <v>0</v>
      </c>
      <c r="H21" s="61" t="n">
        <f aca="false">IF(H19&lt;0,0,SUM(H19:H20))</f>
        <v>0</v>
      </c>
      <c r="I21" s="61" t="n">
        <f aca="false">IF(I19&lt;0,0,SUM(I19:I20))</f>
        <v>0</v>
      </c>
      <c r="J21" s="61" t="n">
        <f aca="false">IF(J19&lt;0,0,SUM(J19:J20))</f>
        <v>0</v>
      </c>
      <c r="K21" s="61" t="n">
        <f aca="false">IF(K19&lt;0,0,SUM(K19:K20))</f>
        <v>0</v>
      </c>
      <c r="L21" s="61" t="n">
        <f aca="false">IF(L19&lt;0,0,SUM(L19:L20))</f>
        <v>596.543920479111</v>
      </c>
      <c r="M21" s="61" t="n">
        <f aca="false">IF(M19&lt;0,0,SUM(M19:M20))</f>
        <v>1637.50847874403</v>
      </c>
      <c r="N21" s="61" t="n">
        <f aca="false">IF(N19&lt;0,0,SUM(N19:N20))</f>
        <v>2290.35548784932</v>
      </c>
      <c r="O21" s="61" t="n">
        <f aca="false">IF(O19&lt;0,0,SUM(O19:O20))</f>
        <v>2725.07523863935</v>
      </c>
      <c r="P21" s="61" t="n">
        <f aca="false">IF(P19&lt;0,0,SUM(P19:P20))</f>
        <v>3293.18583243959</v>
      </c>
      <c r="Q21" s="61" t="n">
        <f aca="false">IF(Q19&lt;0,0,SUM(Q19:Q20))</f>
        <v>3882.10898816084</v>
      </c>
      <c r="R21" s="61" t="n">
        <f aca="false">IF(R19&lt;0,0,SUM(R19:R20))</f>
        <v>3476.15837339265</v>
      </c>
      <c r="S21" s="61" t="n">
        <f aca="false">IF(S19&lt;0,0,SUM(S19:S20))</f>
        <v>4930.08969850698</v>
      </c>
      <c r="T21" s="61" t="n">
        <f aca="false">IF(T19&lt;0,0,SUM(T19:T20))</f>
        <v>5657.72710864045</v>
      </c>
      <c r="U21" s="61" t="n">
        <f aca="false">IF(U19&lt;0,0,SUM(U19:U20))</f>
        <v>6096.6681623783</v>
      </c>
      <c r="V21" s="61" t="n">
        <f aca="false">IF(V19&lt;0,0,SUM(V19:V20))</f>
        <v>6394.07670349387</v>
      </c>
      <c r="W21" s="61" t="n">
        <f aca="false">IF(W19&lt;0,0,SUM(W19:W20))</f>
        <v>6966.47281079132</v>
      </c>
      <c r="X21" s="61" t="n">
        <f aca="false">IF(X19&lt;0,0,SUM(X19:X20))</f>
        <v>3325.08732700337</v>
      </c>
      <c r="Y21" s="304" t="n">
        <f aca="false">SUM(D21:X21)</f>
        <v>51271.0581305192</v>
      </c>
      <c r="Z21" s="39"/>
      <c r="AA21" s="136" t="n">
        <f aca="false">AA20+1</f>
        <v>15</v>
      </c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2.75" hidden="false" customHeight="false" outlineLevel="0" collapsed="false">
      <c r="A22" s="186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875"/>
      <c r="Z22" s="39"/>
      <c r="AA22" s="136" t="n">
        <f aca="false">AA21+1</f>
        <v>16</v>
      </c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12.75" hidden="false" customHeight="false" outlineLevel="0" collapsed="false">
      <c r="A23" s="886" t="s">
        <v>808</v>
      </c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875"/>
      <c r="Z23" s="39"/>
      <c r="AA23" s="136" t="n">
        <f aca="false">AA22+1</f>
        <v>17</v>
      </c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</row>
    <row r="24" customFormat="false" ht="12.75" hidden="false" customHeight="false" outlineLevel="0" collapsed="false">
      <c r="A24" s="37" t="s">
        <v>809</v>
      </c>
      <c r="B24" s="39"/>
      <c r="C24" s="39"/>
      <c r="D24" s="98" t="n">
        <v>0</v>
      </c>
      <c r="E24" s="61" t="n">
        <f aca="false">D27</f>
        <v>0</v>
      </c>
      <c r="F24" s="61" t="n">
        <f aca="false">E27</f>
        <v>0</v>
      </c>
      <c r="G24" s="61" t="n">
        <f aca="false">F27</f>
        <v>0</v>
      </c>
      <c r="H24" s="61" t="n">
        <f aca="false">G27</f>
        <v>-3685.76885897104</v>
      </c>
      <c r="I24" s="61" t="n">
        <f aca="false">H27</f>
        <v>-10234.3061652391</v>
      </c>
      <c r="J24" s="61" t="n">
        <f aca="false">I27</f>
        <v>-17085.6780262198</v>
      </c>
      <c r="K24" s="61" t="n">
        <f aca="false">J27</f>
        <v>-19205.1101827405</v>
      </c>
      <c r="L24" s="61" t="n">
        <f aca="false">K27</f>
        <v>-20232.927361231</v>
      </c>
      <c r="M24" s="61" t="n">
        <f aca="false">L27</f>
        <v>-20198.277187703</v>
      </c>
      <c r="N24" s="61" t="n">
        <f aca="false">M27</f>
        <v>-19496.4878396698</v>
      </c>
      <c r="O24" s="61" t="n">
        <f aca="false">N27</f>
        <v>-18514.9069163058</v>
      </c>
      <c r="P24" s="61" t="n">
        <f aca="false">O27</f>
        <v>-17347.0175283175</v>
      </c>
      <c r="Q24" s="61" t="n">
        <f aca="false">P27</f>
        <v>-15935.6521715577</v>
      </c>
      <c r="R24" s="61" t="n">
        <f aca="false">Q27</f>
        <v>-14271.8911766316</v>
      </c>
      <c r="S24" s="61" t="n">
        <f aca="false">R27</f>
        <v>-12782.1090166062</v>
      </c>
      <c r="T24" s="61" t="n">
        <f aca="false">S27</f>
        <v>-10669.2134315318</v>
      </c>
      <c r="U24" s="61" t="n">
        <f aca="false">T27</f>
        <v>-8244.47324211444</v>
      </c>
      <c r="V24" s="61" t="n">
        <f aca="false">U27</f>
        <v>-5631.61545823803</v>
      </c>
      <c r="W24" s="61" t="n">
        <f aca="false">V27</f>
        <v>-2891.29687102637</v>
      </c>
      <c r="X24" s="61" t="n">
        <f aca="false">W27</f>
        <v>0</v>
      </c>
      <c r="Y24" s="304" t="n">
        <f aca="false">D24</f>
        <v>0</v>
      </c>
      <c r="Z24" s="39"/>
      <c r="AA24" s="136" t="n">
        <f aca="false">AA23+1</f>
        <v>18</v>
      </c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</row>
    <row r="25" customFormat="false" ht="12.75" hidden="false" customHeight="false" outlineLevel="0" collapsed="false">
      <c r="A25" s="37" t="s">
        <v>810</v>
      </c>
      <c r="B25" s="39"/>
      <c r="C25" s="39"/>
      <c r="D25" s="61" t="n">
        <f aca="false">IF(C19&lt;0,C19,0)</f>
        <v>0</v>
      </c>
      <c r="E25" s="61" t="n">
        <f aca="false">IF(D19&lt;0,D19,0)</f>
        <v>0</v>
      </c>
      <c r="F25" s="61" t="n">
        <f aca="false">IF(E19&lt;0,E19,0)</f>
        <v>0</v>
      </c>
      <c r="G25" s="61" t="n">
        <f aca="false">IF(F19&lt;0,F19,0)</f>
        <v>-3685.76885897104</v>
      </c>
      <c r="H25" s="61" t="n">
        <f aca="false">IF(G19&lt;0,G19,0)</f>
        <v>-6548.53730626805</v>
      </c>
      <c r="I25" s="61" t="n">
        <f aca="false">IF(H19&lt;0,H19,0)</f>
        <v>-6851.37186098069</v>
      </c>
      <c r="J25" s="61" t="n">
        <f aca="false">IF(I19&lt;0,I19,0)</f>
        <v>-2119.43215652075</v>
      </c>
      <c r="K25" s="61" t="n">
        <f aca="false">IF(J19&lt;0,J19,0)</f>
        <v>-1027.81717849052</v>
      </c>
      <c r="L25" s="61" t="n">
        <f aca="false">IF(K19&lt;0,K19,0)</f>
        <v>-221.011506677251</v>
      </c>
      <c r="M25" s="61" t="n">
        <f aca="false">IF(L19&lt;0,L19,0)</f>
        <v>0</v>
      </c>
      <c r="N25" s="61" t="n">
        <f aca="false">IF(M19&lt;0,M19,0)</f>
        <v>0</v>
      </c>
      <c r="O25" s="61" t="n">
        <f aca="false">IF(N19&lt;0,N19,0)</f>
        <v>0</v>
      </c>
      <c r="P25" s="61" t="n">
        <f aca="false">IF(O19&lt;0,O19,0)</f>
        <v>0</v>
      </c>
      <c r="Q25" s="61" t="n">
        <f aca="false">IF(P19&lt;0,P19,0)</f>
        <v>0</v>
      </c>
      <c r="R25" s="61" t="n">
        <f aca="false">IF(Q19&lt;0,Q19,0)</f>
        <v>0</v>
      </c>
      <c r="S25" s="61" t="n">
        <f aca="false">IF(R19&lt;0,R19,0)</f>
        <v>0</v>
      </c>
      <c r="T25" s="61" t="n">
        <f aca="false">IF(S19&lt;0,S19,0)</f>
        <v>0</v>
      </c>
      <c r="U25" s="61" t="n">
        <f aca="false">IF(T19&lt;0,T19,0)</f>
        <v>0</v>
      </c>
      <c r="V25" s="61" t="n">
        <f aca="false">IF(U19&lt;0,U19,0)</f>
        <v>0</v>
      </c>
      <c r="W25" s="61" t="n">
        <f aca="false">IF(V19&lt;0,V19,0)</f>
        <v>0</v>
      </c>
      <c r="X25" s="61" t="n">
        <f aca="false">IF(W19&lt;0,W19,0)</f>
        <v>0</v>
      </c>
      <c r="Y25" s="304" t="n">
        <f aca="false">SUM(D25:X25)</f>
        <v>-20453.9388679083</v>
      </c>
      <c r="Z25" s="39"/>
      <c r="AA25" s="136" t="n">
        <f aca="false">AA24+1</f>
        <v>19</v>
      </c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12.75" hidden="false" customHeight="false" outlineLevel="0" collapsed="false">
      <c r="A26" s="37" t="s">
        <v>805</v>
      </c>
      <c r="B26" s="136" t="str">
        <f aca="false">CONCATENATE("Capped @ ",TEXT(Nol,"0%"))</f>
        <v>Capped @ 30%</v>
      </c>
      <c r="C26" s="136"/>
      <c r="D26" s="306" t="n">
        <f aca="false">IF(D19&gt;0,-MAX(-Nol*D19,SUM(D24:D25)),0)</f>
        <v>0</v>
      </c>
      <c r="E26" s="306" t="n">
        <f aca="false">IF(E19&gt;0,-MAX(-Nol*E19,SUM(E24:E25)),0)</f>
        <v>0</v>
      </c>
      <c r="F26" s="306" t="n">
        <f aca="false">IF(F19&gt;0,-MAX(-Nol*F19,SUM(F24:F25)),0)</f>
        <v>0</v>
      </c>
      <c r="G26" s="306" t="n">
        <f aca="false">IF(G19&gt;0,-MAX(-Nol*G19,SUM(G24:G25)),0)</f>
        <v>0</v>
      </c>
      <c r="H26" s="306" t="n">
        <f aca="false">IF(H19&gt;0,-MAX(-Nol*H19,SUM(H24:H25)),0)</f>
        <v>0</v>
      </c>
      <c r="I26" s="306" t="n">
        <f aca="false">IF(I19&gt;0,-MAX(-Nol*I19,SUM(I24:I25)),0)</f>
        <v>0</v>
      </c>
      <c r="J26" s="306" t="n">
        <f aca="false">IF(J19&gt;0,-MAX(-Nol*J19,SUM(J24:J25)),0)</f>
        <v>0</v>
      </c>
      <c r="K26" s="306" t="n">
        <f aca="false">IF(K19&gt;0,-MAX(-Nol*K19,SUM(K24:K25)),0)</f>
        <v>0</v>
      </c>
      <c r="L26" s="306" t="n">
        <f aca="false">IF(L19&gt;0,-MAX(-Nol*L19,SUM(L24:L25)),0)</f>
        <v>255.661680205333</v>
      </c>
      <c r="M26" s="306" t="n">
        <f aca="false">IF(M19&gt;0,-MAX(-Nol*M19,SUM(M24:M25)),0)</f>
        <v>701.789348033154</v>
      </c>
      <c r="N26" s="306" t="n">
        <f aca="false">IF(N19&gt;0,-MAX(-Nol*N19,SUM(N24:N25)),0)</f>
        <v>981.580923363993</v>
      </c>
      <c r="O26" s="306" t="n">
        <f aca="false">IF(O19&gt;0,-MAX(-Nol*O19,SUM(O24:O25)),0)</f>
        <v>1167.88938798829</v>
      </c>
      <c r="P26" s="306" t="n">
        <f aca="false">IF(P19&gt;0,-MAX(-Nol*P19,SUM(P24:P25)),0)</f>
        <v>1411.36535675983</v>
      </c>
      <c r="Q26" s="306" t="n">
        <f aca="false">IF(Q19&gt;0,-MAX(-Nol*Q19,SUM(Q24:Q25)),0)</f>
        <v>1663.76099492608</v>
      </c>
      <c r="R26" s="306" t="n">
        <f aca="false">IF(R19&gt;0,-MAX(-Nol*R19,SUM(R24:R25)),0)</f>
        <v>1489.78216002542</v>
      </c>
      <c r="S26" s="306" t="n">
        <f aca="false">IF(S19&gt;0,-MAX(-Nol*S19,SUM(S24:S25)),0)</f>
        <v>2112.89558507442</v>
      </c>
      <c r="T26" s="306" t="n">
        <f aca="false">IF(T19&gt;0,-MAX(-Nol*T19,SUM(T24:T25)),0)</f>
        <v>2424.74018941733</v>
      </c>
      <c r="U26" s="306" t="n">
        <f aca="false">IF(U19&gt;0,-MAX(-Nol*U19,SUM(U24:U25)),0)</f>
        <v>2612.85778387641</v>
      </c>
      <c r="V26" s="306" t="n">
        <f aca="false">IF(V19&gt;0,-MAX(-Nol*V19,SUM(V24:V25)),0)</f>
        <v>2740.31858721166</v>
      </c>
      <c r="W26" s="306" t="n">
        <f aca="false">IF(W19&gt;0,-MAX(-Nol*W19,SUM(W24:W25)),0)</f>
        <v>2891.29687102637</v>
      </c>
      <c r="X26" s="306" t="n">
        <f aca="false">IF(X19&gt;0,-MAX(-Nol*X19,SUM(X24:X25)),0)</f>
        <v>-0</v>
      </c>
      <c r="Y26" s="307" t="n">
        <f aca="false">SUM(D26:X26)</f>
        <v>20453.9388679083</v>
      </c>
      <c r="AA26" s="136" t="n">
        <f aca="false">AA25+1</f>
        <v>20</v>
      </c>
    </row>
    <row r="27" customFormat="false" ht="12.75" hidden="false" customHeight="false" outlineLevel="0" collapsed="false">
      <c r="A27" s="590" t="s">
        <v>811</v>
      </c>
      <c r="B27" s="466"/>
      <c r="C27" s="887"/>
      <c r="D27" s="532" t="n">
        <f aca="false">SUM(D24:D26)</f>
        <v>0</v>
      </c>
      <c r="E27" s="532" t="n">
        <f aca="false">SUM(E24:E26)</f>
        <v>0</v>
      </c>
      <c r="F27" s="532" t="n">
        <f aca="false">SUM(F24:F26)</f>
        <v>0</v>
      </c>
      <c r="G27" s="532" t="n">
        <f aca="false">SUM(G24:G26)</f>
        <v>-3685.76885897104</v>
      </c>
      <c r="H27" s="532" t="n">
        <f aca="false">SUM(H24:H26)</f>
        <v>-10234.3061652391</v>
      </c>
      <c r="I27" s="532" t="n">
        <f aca="false">SUM(I24:I26)</f>
        <v>-17085.6780262198</v>
      </c>
      <c r="J27" s="532" t="n">
        <f aca="false">SUM(J24:J26)</f>
        <v>-19205.1101827405</v>
      </c>
      <c r="K27" s="532" t="n">
        <f aca="false">SUM(K24:K26)</f>
        <v>-20232.927361231</v>
      </c>
      <c r="L27" s="532" t="n">
        <f aca="false">SUM(L24:L26)</f>
        <v>-20198.277187703</v>
      </c>
      <c r="M27" s="532" t="n">
        <f aca="false">SUM(M24:M26)</f>
        <v>-19496.4878396698</v>
      </c>
      <c r="N27" s="532" t="n">
        <f aca="false">SUM(N24:N26)</f>
        <v>-18514.9069163058</v>
      </c>
      <c r="O27" s="532" t="n">
        <f aca="false">SUM(O24:O26)</f>
        <v>-17347.0175283175</v>
      </c>
      <c r="P27" s="532" t="n">
        <f aca="false">SUM(P24:P26)</f>
        <v>-15935.6521715577</v>
      </c>
      <c r="Q27" s="532" t="n">
        <f aca="false">SUM(Q24:Q26)</f>
        <v>-14271.8911766316</v>
      </c>
      <c r="R27" s="532" t="n">
        <f aca="false">SUM(R24:R26)</f>
        <v>-12782.1090166062</v>
      </c>
      <c r="S27" s="532" t="n">
        <f aca="false">SUM(S24:S26)</f>
        <v>-10669.2134315318</v>
      </c>
      <c r="T27" s="532" t="n">
        <f aca="false">SUM(T24:T26)</f>
        <v>-8244.47324211444</v>
      </c>
      <c r="U27" s="532" t="n">
        <f aca="false">SUM(U24:U26)</f>
        <v>-5631.61545823803</v>
      </c>
      <c r="V27" s="532" t="n">
        <f aca="false">SUM(V24:V26)</f>
        <v>-2891.29687102637</v>
      </c>
      <c r="W27" s="532" t="n">
        <f aca="false">SUM(W24:W26)</f>
        <v>0</v>
      </c>
      <c r="X27" s="532" t="n">
        <f aca="false">SUM(X24:X26)</f>
        <v>0</v>
      </c>
      <c r="Y27" s="888" t="n">
        <f aca="false">SUM(Y24:Y26)</f>
        <v>0</v>
      </c>
      <c r="AA27" s="136" t="n">
        <f aca="false">AA26+1</f>
        <v>21</v>
      </c>
    </row>
    <row r="28" customFormat="false" ht="12.75" hidden="false" customHeight="false" outlineLevel="0" collapsed="false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298"/>
      <c r="AA28" s="136" t="n">
        <f aca="false">AA27+1</f>
        <v>22</v>
      </c>
    </row>
    <row r="29" customFormat="false" ht="12.75" hidden="false" customHeight="false" outlineLevel="0" collapsed="false">
      <c r="A29" s="303" t="s">
        <v>54</v>
      </c>
      <c r="B29" s="39"/>
      <c r="C29" s="39"/>
      <c r="D29" s="368"/>
      <c r="E29" s="368"/>
      <c r="F29" s="368"/>
      <c r="G29" s="368"/>
      <c r="H29" s="368"/>
      <c r="I29" s="368"/>
      <c r="J29" s="368"/>
      <c r="K29" s="368"/>
      <c r="L29" s="368"/>
      <c r="M29" s="368"/>
      <c r="N29" s="368"/>
      <c r="O29" s="368"/>
      <c r="P29" s="368"/>
      <c r="Q29" s="368"/>
      <c r="R29" s="368"/>
      <c r="S29" s="368"/>
      <c r="T29" s="368"/>
      <c r="U29" s="368"/>
      <c r="V29" s="368"/>
      <c r="W29" s="368"/>
      <c r="X29" s="368"/>
      <c r="Y29" s="418"/>
      <c r="Z29" s="39"/>
      <c r="AA29" s="136" t="n">
        <f aca="false">AA28+1</f>
        <v>23</v>
      </c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</row>
    <row r="30" customFormat="false" ht="12.75" hidden="false" customHeight="false" outlineLevel="0" collapsed="false">
      <c r="A30" s="37" t="s">
        <v>812</v>
      </c>
      <c r="B30" s="39"/>
      <c r="C30" s="39"/>
      <c r="D30" s="61" t="n">
        <f aca="false">D$21</f>
        <v>0</v>
      </c>
      <c r="E30" s="61" t="n">
        <f aca="false">E$21</f>
        <v>0</v>
      </c>
      <c r="F30" s="61" t="n">
        <f aca="false">F$21</f>
        <v>0</v>
      </c>
      <c r="G30" s="61" t="n">
        <f aca="false">G$21</f>
        <v>0</v>
      </c>
      <c r="H30" s="61" t="n">
        <f aca="false">H$21</f>
        <v>0</v>
      </c>
      <c r="I30" s="61" t="n">
        <f aca="false">I$21</f>
        <v>0</v>
      </c>
      <c r="J30" s="61" t="n">
        <f aca="false">J$21</f>
        <v>0</v>
      </c>
      <c r="K30" s="61" t="n">
        <f aca="false">K$21</f>
        <v>0</v>
      </c>
      <c r="L30" s="61" t="n">
        <f aca="false">L$21</f>
        <v>596.543920479111</v>
      </c>
      <c r="M30" s="61" t="n">
        <f aca="false">M$21</f>
        <v>1637.50847874403</v>
      </c>
      <c r="N30" s="61" t="n">
        <f aca="false">N$21</f>
        <v>2290.35548784932</v>
      </c>
      <c r="O30" s="61" t="n">
        <f aca="false">O$21</f>
        <v>2725.07523863935</v>
      </c>
      <c r="P30" s="61" t="n">
        <f aca="false">P$21</f>
        <v>3293.18583243959</v>
      </c>
      <c r="Q30" s="61" t="n">
        <f aca="false">Q$21</f>
        <v>3882.10898816084</v>
      </c>
      <c r="R30" s="61" t="n">
        <f aca="false">R$21</f>
        <v>3476.15837339265</v>
      </c>
      <c r="S30" s="61" t="n">
        <f aca="false">S$21</f>
        <v>4930.08969850698</v>
      </c>
      <c r="T30" s="61" t="n">
        <f aca="false">T$21</f>
        <v>5657.72710864045</v>
      </c>
      <c r="U30" s="61" t="n">
        <f aca="false">U$21</f>
        <v>6096.6681623783</v>
      </c>
      <c r="V30" s="61" t="n">
        <f aca="false">V$21</f>
        <v>6394.07670349387</v>
      </c>
      <c r="W30" s="61" t="n">
        <f aca="false">W$21</f>
        <v>6966.47281079132</v>
      </c>
      <c r="X30" s="61" t="n">
        <f aca="false">X$21</f>
        <v>3325.08732700337</v>
      </c>
      <c r="Y30" s="304" t="n">
        <f aca="false">SUM(D30:X30)</f>
        <v>51271.0581305192</v>
      </c>
      <c r="Z30" s="39"/>
      <c r="AA30" s="136" t="n">
        <f aca="false">AA29+1</f>
        <v>24</v>
      </c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</row>
    <row r="31" customFormat="false" ht="12.75" hidden="false" customHeight="false" outlineLevel="0" collapsed="false">
      <c r="A31" s="37" t="s">
        <v>768</v>
      </c>
      <c r="B31" s="39"/>
      <c r="C31" s="39"/>
      <c r="D31" s="519" t="n">
        <f aca="false">Tax</f>
        <v>0.15</v>
      </c>
      <c r="E31" s="519" t="n">
        <f aca="false">Tax</f>
        <v>0.15</v>
      </c>
      <c r="F31" s="519" t="n">
        <f aca="false">Tax</f>
        <v>0.15</v>
      </c>
      <c r="G31" s="519" t="n">
        <f aca="false">Tax</f>
        <v>0.15</v>
      </c>
      <c r="H31" s="519" t="n">
        <f aca="false">Tax</f>
        <v>0.15</v>
      </c>
      <c r="I31" s="519" t="n">
        <f aca="false">Tax</f>
        <v>0.15</v>
      </c>
      <c r="J31" s="519" t="n">
        <f aca="false">Tax</f>
        <v>0.15</v>
      </c>
      <c r="K31" s="519" t="n">
        <f aca="false">Tax</f>
        <v>0.15</v>
      </c>
      <c r="L31" s="519" t="n">
        <f aca="false">Tax</f>
        <v>0.15</v>
      </c>
      <c r="M31" s="519" t="n">
        <f aca="false">Tax</f>
        <v>0.15</v>
      </c>
      <c r="N31" s="519" t="n">
        <f aca="false">Tax</f>
        <v>0.15</v>
      </c>
      <c r="O31" s="519" t="n">
        <f aca="false">Tax</f>
        <v>0.15</v>
      </c>
      <c r="P31" s="519" t="n">
        <f aca="false">Tax</f>
        <v>0.15</v>
      </c>
      <c r="Q31" s="519" t="n">
        <f aca="false">Tax</f>
        <v>0.15</v>
      </c>
      <c r="R31" s="519" t="n">
        <f aca="false">Tax</f>
        <v>0.15</v>
      </c>
      <c r="S31" s="519" t="n">
        <f aca="false">Tax</f>
        <v>0.15</v>
      </c>
      <c r="T31" s="519" t="n">
        <f aca="false">Tax</f>
        <v>0.15</v>
      </c>
      <c r="U31" s="519" t="n">
        <f aca="false">Tax</f>
        <v>0.15</v>
      </c>
      <c r="V31" s="519" t="n">
        <f aca="false">Tax</f>
        <v>0.15</v>
      </c>
      <c r="W31" s="519" t="n">
        <f aca="false">Tax</f>
        <v>0.15</v>
      </c>
      <c r="X31" s="519" t="n">
        <f aca="false">Tax</f>
        <v>0.15</v>
      </c>
      <c r="Y31" s="418"/>
      <c r="Z31" s="39"/>
      <c r="AA31" s="136" t="n">
        <f aca="false">AA30+1</f>
        <v>25</v>
      </c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</row>
    <row r="32" customFormat="false" ht="12.75" hidden="false" customHeight="false" outlineLevel="0" collapsed="false">
      <c r="A32" s="37" t="s">
        <v>769</v>
      </c>
      <c r="B32" s="39"/>
      <c r="C32" s="39"/>
      <c r="D32" s="61" t="n">
        <f aca="false">D31*D30</f>
        <v>0</v>
      </c>
      <c r="E32" s="61" t="n">
        <f aca="false">E31*E30</f>
        <v>0</v>
      </c>
      <c r="F32" s="61" t="n">
        <f aca="false">F31*F30</f>
        <v>0</v>
      </c>
      <c r="G32" s="61" t="n">
        <f aca="false">G31*G30</f>
        <v>0</v>
      </c>
      <c r="H32" s="61" t="n">
        <f aca="false">H31*H30</f>
        <v>0</v>
      </c>
      <c r="I32" s="61" t="n">
        <f aca="false">I31*I30</f>
        <v>0</v>
      </c>
      <c r="J32" s="61" t="n">
        <f aca="false">J31*J30</f>
        <v>0</v>
      </c>
      <c r="K32" s="61" t="n">
        <f aca="false">K31*K30</f>
        <v>0</v>
      </c>
      <c r="L32" s="61" t="n">
        <f aca="false">L31*L30</f>
        <v>89.4815880718666</v>
      </c>
      <c r="M32" s="61" t="n">
        <f aca="false">M31*M30</f>
        <v>245.626271811604</v>
      </c>
      <c r="N32" s="61" t="n">
        <f aca="false">N31*N30</f>
        <v>343.553323177398</v>
      </c>
      <c r="O32" s="61" t="n">
        <f aca="false">O31*O30</f>
        <v>408.761285795902</v>
      </c>
      <c r="P32" s="61" t="n">
        <f aca="false">P31*P30</f>
        <v>493.977874865939</v>
      </c>
      <c r="Q32" s="61" t="n">
        <f aca="false">Q31*Q30</f>
        <v>582.316348224126</v>
      </c>
      <c r="R32" s="61" t="n">
        <f aca="false">R31*R30</f>
        <v>521.423756008898</v>
      </c>
      <c r="S32" s="61" t="n">
        <f aca="false">S31*S30</f>
        <v>739.513454776046</v>
      </c>
      <c r="T32" s="61" t="n">
        <f aca="false">T31*T30</f>
        <v>848.659066296067</v>
      </c>
      <c r="U32" s="61" t="n">
        <f aca="false">U31*U30</f>
        <v>914.500224356745</v>
      </c>
      <c r="V32" s="61" t="n">
        <f aca="false">V31*V30</f>
        <v>959.111505524081</v>
      </c>
      <c r="W32" s="61" t="n">
        <f aca="false">W31*W30</f>
        <v>1044.9709216187</v>
      </c>
      <c r="X32" s="61" t="n">
        <f aca="false">X31*X30</f>
        <v>498.763099050505</v>
      </c>
      <c r="Y32" s="304" t="n">
        <f aca="false">SUM(D32:X32)</f>
        <v>7690.65871957788</v>
      </c>
      <c r="Z32" s="39"/>
      <c r="AA32" s="136" t="n">
        <f aca="false">AA31+1</f>
        <v>26</v>
      </c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</row>
    <row r="33" customFormat="false" ht="12.75" hidden="false" customHeight="false" outlineLevel="0" collapsed="false">
      <c r="A33" s="37"/>
      <c r="B33" s="39"/>
      <c r="C33" s="39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418"/>
      <c r="Z33" s="39"/>
      <c r="AA33" s="136" t="n">
        <f aca="false">AA32+1</f>
        <v>27</v>
      </c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</row>
    <row r="34" customFormat="false" ht="12.75" hidden="false" customHeight="false" outlineLevel="0" collapsed="false">
      <c r="A34" s="303" t="s">
        <v>59</v>
      </c>
      <c r="B34" s="39"/>
      <c r="C34" s="39"/>
      <c r="D34" s="368"/>
      <c r="E34" s="368"/>
      <c r="F34" s="368"/>
      <c r="G34" s="368"/>
      <c r="H34" s="368"/>
      <c r="I34" s="368"/>
      <c r="J34" s="368"/>
      <c r="K34" s="368"/>
      <c r="L34" s="368"/>
      <c r="M34" s="368"/>
      <c r="N34" s="368"/>
      <c r="O34" s="368"/>
      <c r="P34" s="368"/>
      <c r="Q34" s="368"/>
      <c r="R34" s="368"/>
      <c r="S34" s="368"/>
      <c r="T34" s="368"/>
      <c r="U34" s="368"/>
      <c r="V34" s="368"/>
      <c r="W34" s="368"/>
      <c r="X34" s="368"/>
      <c r="Y34" s="418"/>
      <c r="Z34" s="39"/>
      <c r="AA34" s="136" t="n">
        <f aca="false">AA33+1</f>
        <v>28</v>
      </c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2.75" hidden="false" customHeight="false" outlineLevel="0" collapsed="false">
      <c r="A35" s="37" t="s">
        <v>812</v>
      </c>
      <c r="B35" s="39"/>
      <c r="C35" s="39"/>
      <c r="D35" s="61" t="n">
        <f aca="false">D$30</f>
        <v>0</v>
      </c>
      <c r="E35" s="61" t="n">
        <f aca="false">E$30</f>
        <v>0</v>
      </c>
      <c r="F35" s="61" t="n">
        <f aca="false">F$30</f>
        <v>0</v>
      </c>
      <c r="G35" s="61" t="n">
        <f aca="false">G$30</f>
        <v>0</v>
      </c>
      <c r="H35" s="61" t="n">
        <f aca="false">H$30</f>
        <v>0</v>
      </c>
      <c r="I35" s="61" t="n">
        <f aca="false">I$30</f>
        <v>0</v>
      </c>
      <c r="J35" s="61" t="n">
        <f aca="false">J$30</f>
        <v>0</v>
      </c>
      <c r="K35" s="61" t="n">
        <f aca="false">K$30</f>
        <v>0</v>
      </c>
      <c r="L35" s="61" t="n">
        <f aca="false">L$30</f>
        <v>596.543920479111</v>
      </c>
      <c r="M35" s="61" t="n">
        <f aca="false">M$30</f>
        <v>1637.50847874403</v>
      </c>
      <c r="N35" s="61" t="n">
        <f aca="false">N$30</f>
        <v>2290.35548784932</v>
      </c>
      <c r="O35" s="61" t="n">
        <f aca="false">O$30</f>
        <v>2725.07523863935</v>
      </c>
      <c r="P35" s="61" t="n">
        <f aca="false">P$30</f>
        <v>3293.18583243959</v>
      </c>
      <c r="Q35" s="61" t="n">
        <f aca="false">Q$30</f>
        <v>3882.10898816084</v>
      </c>
      <c r="R35" s="61" t="n">
        <f aca="false">R$30</f>
        <v>3476.15837339265</v>
      </c>
      <c r="S35" s="61" t="n">
        <f aca="false">S$30</f>
        <v>4930.08969850698</v>
      </c>
      <c r="T35" s="61" t="n">
        <f aca="false">T$30</f>
        <v>5657.72710864045</v>
      </c>
      <c r="U35" s="61" t="n">
        <f aca="false">U$30</f>
        <v>6096.6681623783</v>
      </c>
      <c r="V35" s="61" t="n">
        <f aca="false">V$30</f>
        <v>6394.07670349387</v>
      </c>
      <c r="W35" s="61" t="n">
        <f aca="false">W$30</f>
        <v>6966.47281079132</v>
      </c>
      <c r="X35" s="61" t="n">
        <f aca="false">X$30</f>
        <v>3325.08732700337</v>
      </c>
      <c r="Y35" s="304" t="n">
        <f aca="false">SUM(D35:X35)</f>
        <v>51271.0581305192</v>
      </c>
      <c r="Z35" s="39"/>
      <c r="AA35" s="136" t="n">
        <f aca="false">AA34+1</f>
        <v>29</v>
      </c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</row>
    <row r="36" customFormat="false" ht="12.75" hidden="false" customHeight="false" outlineLevel="0" collapsed="false">
      <c r="A36" s="37" t="s">
        <v>770</v>
      </c>
      <c r="B36" s="39"/>
      <c r="C36" s="39"/>
      <c r="D36" s="306" t="n">
        <f aca="false">IF(D35&lt;=Assm!$L$9/CF!E$13,0,-Assm!$L$9/CF!E$13*D$9/12)</f>
        <v>0</v>
      </c>
      <c r="E36" s="306" t="n">
        <f aca="false">IF(E35&lt;=Assm!$L$9/CF!F$13,0,-Assm!$L$9/CF!F$13*E$9/12)</f>
        <v>0</v>
      </c>
      <c r="F36" s="306" t="n">
        <f aca="false">IF(F35&lt;=Assm!$L$9/CF!G$13,0,-Assm!$L$9/CF!G$13*F$9/12)</f>
        <v>0</v>
      </c>
      <c r="G36" s="306" t="n">
        <f aca="false">IF(G35&lt;=Assm!$L$9/CF!H$13,0,-Assm!$L$9/CF!H$13*G$9/12)</f>
        <v>0</v>
      </c>
      <c r="H36" s="306" t="n">
        <f aca="false">IF(H35&lt;=Assm!$L$9/CF!I$13,0,-Assm!$L$9/CF!I$13*H$9/12)</f>
        <v>0</v>
      </c>
      <c r="I36" s="306" t="n">
        <f aca="false">IF(I35&lt;=Assm!$L$9/CF!J$13,0,-Assm!$L$9/CF!J$13*I$9/12)</f>
        <v>0</v>
      </c>
      <c r="J36" s="306" t="n">
        <f aca="false">IF(J35&lt;=Assm!$L$9/CF!K$13,0,-Assm!$L$9/CF!K$13*J$9/12)</f>
        <v>0</v>
      </c>
      <c r="K36" s="306" t="n">
        <f aca="false">IF(K35&lt;=Assm!$L$9/CF!L$13,0,-Assm!$L$9/CF!L$13*K$9/12)</f>
        <v>0</v>
      </c>
      <c r="L36" s="306" t="n">
        <f aca="false">IF(L35&lt;=Assm!$L$9/CF!M$13,0,-Assm!$L$9/CF!M$13*L$9/12)</f>
        <v>-225.352112676056</v>
      </c>
      <c r="M36" s="306" t="n">
        <f aca="false">IF(M35&lt;=Assm!$L$9/CF!N$13,0,-Assm!$L$9/CF!N$13*M$9/12)</f>
        <v>-225.352112676056</v>
      </c>
      <c r="N36" s="306" t="n">
        <f aca="false">IF(N35&lt;=Assm!$L$9/CF!O$13,0,-Assm!$L$9/CF!O$13*N$9/12)</f>
        <v>-225.352112676056</v>
      </c>
      <c r="O36" s="306" t="n">
        <f aca="false">IF(O35&lt;=Assm!$L$9/CF!P$13,0,-Assm!$L$9/CF!P$13*O$9/12)</f>
        <v>-225.352112676056</v>
      </c>
      <c r="P36" s="306" t="n">
        <f aca="false">IF(P35&lt;=Assm!$L$9/CF!Q$13,0,-Assm!$L$9/CF!Q$13*P$9/12)</f>
        <v>-225.352112676056</v>
      </c>
      <c r="Q36" s="306" t="n">
        <f aca="false">IF(Q35&lt;=Assm!$L$9/CF!R$13,0,-Assm!$L$9/CF!R$13*Q$9/12)</f>
        <v>-225.352112676056</v>
      </c>
      <c r="R36" s="306" t="n">
        <f aca="false">IF(R35&lt;=Assm!$L$9/CF!S$13,0,-Assm!$L$9/CF!S$13*R$9/12)</f>
        <v>-225.352112676056</v>
      </c>
      <c r="S36" s="306" t="n">
        <f aca="false">IF(S35&lt;=Assm!$L$9/CF!T$13,0,-Assm!$L$9/CF!T$13*S$9/12)</f>
        <v>-225.352112676056</v>
      </c>
      <c r="T36" s="306" t="n">
        <f aca="false">IF(T35&lt;=Assm!$L$9/CF!U$13,0,-Assm!$L$9/CF!U$13*T$9/12)</f>
        <v>-225.352112676056</v>
      </c>
      <c r="U36" s="306" t="n">
        <f aca="false">IF(U35&lt;=Assm!$L$9/CF!V$13,0,-Assm!$L$9/CF!V$13*U$9/12)</f>
        <v>-225.352112676056</v>
      </c>
      <c r="V36" s="306" t="n">
        <f aca="false">IF(V35&lt;=Assm!$L$9/CF!W$13,0,-Assm!$L$9/CF!W$13*V$9/12)</f>
        <v>-225.352112676056</v>
      </c>
      <c r="W36" s="306" t="n">
        <f aca="false">IF(W35&lt;=Assm!$L$9/CF!X$13,0,-Assm!$L$9/CF!X$13*W$9/12)</f>
        <v>-225.352112676056</v>
      </c>
      <c r="X36" s="306" t="n">
        <f aca="false">IF(X35&lt;=Assm!$L$9/CF!Y$13,0,-Assm!$L$9/CF!Y$13*X$9/12)</f>
        <v>-75.1173708920188</v>
      </c>
      <c r="Y36" s="307" t="n">
        <f aca="false">SUM(D36:X36)</f>
        <v>-2779.3427230047</v>
      </c>
      <c r="Z36" s="39"/>
      <c r="AA36" s="136" t="n">
        <f aca="false">AA35+1</f>
        <v>30</v>
      </c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</row>
    <row r="37" customFormat="false" ht="12.75" hidden="false" customHeight="false" outlineLevel="0" collapsed="false">
      <c r="A37" s="37" t="s">
        <v>771</v>
      </c>
      <c r="B37" s="39"/>
      <c r="C37" s="39"/>
      <c r="D37" s="61" t="n">
        <f aca="false">SUM(D35:D36)</f>
        <v>0</v>
      </c>
      <c r="E37" s="61" t="n">
        <f aca="false">SUM(E35:E36)</f>
        <v>0</v>
      </c>
      <c r="F37" s="61" t="n">
        <f aca="false">SUM(F35:F36)</f>
        <v>0</v>
      </c>
      <c r="G37" s="61" t="n">
        <f aca="false">SUM(G35:G36)</f>
        <v>0</v>
      </c>
      <c r="H37" s="61" t="n">
        <f aca="false">SUM(H35:H36)</f>
        <v>0</v>
      </c>
      <c r="I37" s="61" t="n">
        <f aca="false">SUM(I35:I36)</f>
        <v>0</v>
      </c>
      <c r="J37" s="61" t="n">
        <f aca="false">SUM(J35:J36)</f>
        <v>0</v>
      </c>
      <c r="K37" s="61" t="n">
        <f aca="false">SUM(K35:K36)</f>
        <v>0</v>
      </c>
      <c r="L37" s="61" t="n">
        <f aca="false">SUM(L35:L36)</f>
        <v>371.191807803055</v>
      </c>
      <c r="M37" s="61" t="n">
        <f aca="false">SUM(M35:M36)</f>
        <v>1412.15636606797</v>
      </c>
      <c r="N37" s="61" t="n">
        <f aca="false">SUM(N35:N36)</f>
        <v>2065.00337517326</v>
      </c>
      <c r="O37" s="61" t="n">
        <f aca="false">SUM(O35:O36)</f>
        <v>2499.72312596329</v>
      </c>
      <c r="P37" s="61" t="n">
        <f aca="false">SUM(P35:P36)</f>
        <v>3067.83371976354</v>
      </c>
      <c r="Q37" s="61" t="n">
        <f aca="false">SUM(Q35:Q36)</f>
        <v>3656.75687548479</v>
      </c>
      <c r="R37" s="61" t="n">
        <f aca="false">SUM(R35:R36)</f>
        <v>3250.8062607166</v>
      </c>
      <c r="S37" s="61" t="n">
        <f aca="false">SUM(S35:S36)</f>
        <v>4704.73758583092</v>
      </c>
      <c r="T37" s="61" t="n">
        <f aca="false">SUM(T35:T36)</f>
        <v>5432.37499596439</v>
      </c>
      <c r="U37" s="61" t="n">
        <f aca="false">SUM(U35:U36)</f>
        <v>5871.31604970224</v>
      </c>
      <c r="V37" s="61" t="n">
        <f aca="false">SUM(V35:V36)</f>
        <v>6168.72459081782</v>
      </c>
      <c r="W37" s="61" t="n">
        <f aca="false">SUM(W35:W36)</f>
        <v>6741.12069811526</v>
      </c>
      <c r="X37" s="61" t="n">
        <f aca="false">SUM(X35:X36)</f>
        <v>3249.96995611135</v>
      </c>
      <c r="Y37" s="304" t="n">
        <f aca="false">SUM(D37:X37)</f>
        <v>48491.7154075145</v>
      </c>
      <c r="Z37" s="39"/>
      <c r="AA37" s="136" t="n">
        <f aca="false">AA36+1</f>
        <v>31</v>
      </c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</row>
    <row r="38" customFormat="false" ht="12.75" hidden="false" customHeight="false" outlineLevel="0" collapsed="false">
      <c r="A38" s="37" t="s">
        <v>772</v>
      </c>
      <c r="B38" s="39"/>
      <c r="C38" s="39"/>
      <c r="D38" s="519" t="n">
        <f aca="false">Add_Tax</f>
        <v>0.1</v>
      </c>
      <c r="E38" s="519" t="n">
        <f aca="false">Add_Tax</f>
        <v>0.1</v>
      </c>
      <c r="F38" s="519" t="n">
        <f aca="false">Add_Tax</f>
        <v>0.1</v>
      </c>
      <c r="G38" s="519" t="n">
        <f aca="false">Add_Tax</f>
        <v>0.1</v>
      </c>
      <c r="H38" s="519" t="n">
        <f aca="false">Add_Tax</f>
        <v>0.1</v>
      </c>
      <c r="I38" s="519" t="n">
        <f aca="false">Add_Tax</f>
        <v>0.1</v>
      </c>
      <c r="J38" s="519" t="n">
        <f aca="false">Add_Tax</f>
        <v>0.1</v>
      </c>
      <c r="K38" s="519" t="n">
        <f aca="false">Add_Tax</f>
        <v>0.1</v>
      </c>
      <c r="L38" s="519" t="n">
        <f aca="false">Add_Tax</f>
        <v>0.1</v>
      </c>
      <c r="M38" s="519" t="n">
        <f aca="false">Add_Tax</f>
        <v>0.1</v>
      </c>
      <c r="N38" s="519" t="n">
        <f aca="false">Add_Tax</f>
        <v>0.1</v>
      </c>
      <c r="O38" s="519" t="n">
        <f aca="false">Add_Tax</f>
        <v>0.1</v>
      </c>
      <c r="P38" s="519" t="n">
        <f aca="false">Add_Tax</f>
        <v>0.1</v>
      </c>
      <c r="Q38" s="519" t="n">
        <f aca="false">Add_Tax</f>
        <v>0.1</v>
      </c>
      <c r="R38" s="519" t="n">
        <f aca="false">Add_Tax</f>
        <v>0.1</v>
      </c>
      <c r="S38" s="519" t="n">
        <f aca="false">Add_Tax</f>
        <v>0.1</v>
      </c>
      <c r="T38" s="519" t="n">
        <f aca="false">Add_Tax</f>
        <v>0.1</v>
      </c>
      <c r="U38" s="519" t="n">
        <f aca="false">Add_Tax</f>
        <v>0.1</v>
      </c>
      <c r="V38" s="519" t="n">
        <f aca="false">Add_Tax</f>
        <v>0.1</v>
      </c>
      <c r="W38" s="519" t="n">
        <f aca="false">Add_Tax</f>
        <v>0.1</v>
      </c>
      <c r="X38" s="519" t="n">
        <f aca="false">Add_Tax</f>
        <v>0.1</v>
      </c>
      <c r="Y38" s="418"/>
      <c r="Z38" s="39"/>
      <c r="AA38" s="136" t="n">
        <f aca="false">AA37+1</f>
        <v>32</v>
      </c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</row>
    <row r="39" customFormat="false" ht="12.75" hidden="false" customHeight="false" outlineLevel="0" collapsed="false">
      <c r="A39" s="37" t="s">
        <v>773</v>
      </c>
      <c r="B39" s="39"/>
      <c r="C39" s="39"/>
      <c r="D39" s="61" t="n">
        <f aca="false">D38*D37</f>
        <v>0</v>
      </c>
      <c r="E39" s="61" t="n">
        <f aca="false">E38*E37</f>
        <v>0</v>
      </c>
      <c r="F39" s="61" t="n">
        <f aca="false">F38*F37</f>
        <v>0</v>
      </c>
      <c r="G39" s="61" t="n">
        <f aca="false">G38*G37</f>
        <v>0</v>
      </c>
      <c r="H39" s="61" t="n">
        <f aca="false">H38*H37</f>
        <v>0</v>
      </c>
      <c r="I39" s="61" t="n">
        <f aca="false">I38*I37</f>
        <v>0</v>
      </c>
      <c r="J39" s="61" t="n">
        <f aca="false">J38*J37</f>
        <v>0</v>
      </c>
      <c r="K39" s="61" t="n">
        <f aca="false">K38*K37</f>
        <v>0</v>
      </c>
      <c r="L39" s="61" t="n">
        <f aca="false">L38*L37</f>
        <v>37.1191807803055</v>
      </c>
      <c r="M39" s="61" t="n">
        <f aca="false">M38*M37</f>
        <v>141.215636606797</v>
      </c>
      <c r="N39" s="61" t="n">
        <f aca="false">N38*N37</f>
        <v>206.500337517326</v>
      </c>
      <c r="O39" s="61" t="n">
        <f aca="false">O38*O37</f>
        <v>249.972312596329</v>
      </c>
      <c r="P39" s="61" t="n">
        <f aca="false">P38*P37</f>
        <v>306.783371976354</v>
      </c>
      <c r="Q39" s="61" t="n">
        <f aca="false">Q38*Q37</f>
        <v>365.675687548479</v>
      </c>
      <c r="R39" s="61" t="n">
        <f aca="false">R38*R37</f>
        <v>325.08062607166</v>
      </c>
      <c r="S39" s="61" t="n">
        <f aca="false">S38*S37</f>
        <v>470.473758583092</v>
      </c>
      <c r="T39" s="61" t="n">
        <f aca="false">T38*T37</f>
        <v>543.237499596439</v>
      </c>
      <c r="U39" s="61" t="n">
        <f aca="false">U38*U37</f>
        <v>587.131604970224</v>
      </c>
      <c r="V39" s="61" t="n">
        <f aca="false">V38*V37</f>
        <v>616.872459081782</v>
      </c>
      <c r="W39" s="61" t="n">
        <f aca="false">W38*W37</f>
        <v>674.112069811527</v>
      </c>
      <c r="X39" s="61" t="n">
        <f aca="false">X38*X37</f>
        <v>324.996995611135</v>
      </c>
      <c r="Y39" s="304" t="n">
        <f aca="false">SUM(D39:X39)</f>
        <v>4849.17154075145</v>
      </c>
      <c r="Z39" s="39"/>
      <c r="AA39" s="136" t="n">
        <f aca="false">AA38+1</f>
        <v>33</v>
      </c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</row>
    <row r="40" customFormat="false" ht="12.75" hidden="false" customHeight="false" outlineLevel="0" collapsed="false">
      <c r="A40" s="37"/>
      <c r="B40" s="39"/>
      <c r="C40" s="39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418"/>
      <c r="Z40" s="39"/>
      <c r="AA40" s="136" t="n">
        <f aca="false">AA39+1</f>
        <v>34</v>
      </c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</row>
    <row r="41" customFormat="false" ht="12.75" hidden="false" customHeight="false" outlineLevel="0" collapsed="false">
      <c r="A41" s="37" t="s">
        <v>813</v>
      </c>
      <c r="B41" s="39"/>
      <c r="C41" s="39"/>
      <c r="D41" s="61" t="n">
        <f aca="false">SUM(D32,D39)</f>
        <v>0</v>
      </c>
      <c r="E41" s="61" t="n">
        <f aca="false">SUM(E32,E39)</f>
        <v>0</v>
      </c>
      <c r="F41" s="61" t="n">
        <f aca="false">SUM(F32,F39)</f>
        <v>0</v>
      </c>
      <c r="G41" s="61" t="n">
        <f aca="false">SUM(G32,G39)</f>
        <v>0</v>
      </c>
      <c r="H41" s="61" t="n">
        <f aca="false">SUM(H32,H39)</f>
        <v>0</v>
      </c>
      <c r="I41" s="61" t="n">
        <f aca="false">SUM(I32,I39)</f>
        <v>0</v>
      </c>
      <c r="J41" s="61" t="n">
        <f aca="false">SUM(J32,J39)</f>
        <v>0</v>
      </c>
      <c r="K41" s="61" t="n">
        <f aca="false">SUM(K32,K39)</f>
        <v>0</v>
      </c>
      <c r="L41" s="61" t="n">
        <f aca="false">SUM(L32,L39)</f>
        <v>126.600768852172</v>
      </c>
      <c r="M41" s="61" t="n">
        <f aca="false">SUM(M32,M39)</f>
        <v>386.841908418401</v>
      </c>
      <c r="N41" s="61" t="n">
        <f aca="false">SUM(N32,N39)</f>
        <v>550.053660694724</v>
      </c>
      <c r="O41" s="61" t="n">
        <f aca="false">SUM(O32,O39)</f>
        <v>658.733598392232</v>
      </c>
      <c r="P41" s="61" t="n">
        <f aca="false">SUM(P32,P39)</f>
        <v>800.761246842293</v>
      </c>
      <c r="Q41" s="61" t="n">
        <f aca="false">SUM(Q32,Q39)</f>
        <v>947.992035772605</v>
      </c>
      <c r="R41" s="61" t="n">
        <f aca="false">SUM(R32,R39)</f>
        <v>846.504382080557</v>
      </c>
      <c r="S41" s="61" t="n">
        <f aca="false">SUM(S32,S39)</f>
        <v>1209.98721335914</v>
      </c>
      <c r="T41" s="61" t="n">
        <f aca="false">SUM(T32,T39)</f>
        <v>1391.89656589251</v>
      </c>
      <c r="U41" s="61" t="n">
        <f aca="false">SUM(U32,U39)</f>
        <v>1501.63182932697</v>
      </c>
      <c r="V41" s="61" t="n">
        <f aca="false">SUM(V32,V39)</f>
        <v>1575.98396460586</v>
      </c>
      <c r="W41" s="61" t="n">
        <f aca="false">SUM(W32,W39)</f>
        <v>1719.08299143022</v>
      </c>
      <c r="X41" s="61" t="n">
        <f aca="false">SUM(X32,X39)</f>
        <v>823.76009466164</v>
      </c>
      <c r="Y41" s="304" t="n">
        <f aca="false">SUM(D41:X41)</f>
        <v>12539.8302603293</v>
      </c>
      <c r="Z41" s="39"/>
      <c r="AA41" s="136" t="n">
        <f aca="false">AA40+1</f>
        <v>35</v>
      </c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</row>
    <row r="42" customFormat="false" ht="12.75" hidden="false" customHeight="false" outlineLevel="0" collapsed="false">
      <c r="A42" s="37" t="s">
        <v>814</v>
      </c>
      <c r="B42" s="39"/>
      <c r="C42" s="39"/>
      <c r="D42" s="306" t="n">
        <f aca="false">-Sudam!D44</f>
        <v>-0</v>
      </c>
      <c r="E42" s="306" t="n">
        <f aca="false">-Sudam!E44</f>
        <v>-0</v>
      </c>
      <c r="F42" s="306" t="n">
        <f aca="false">-Sudam!F44</f>
        <v>-0</v>
      </c>
      <c r="G42" s="306" t="n">
        <f aca="false">-Sudam!G44</f>
        <v>-0</v>
      </c>
      <c r="H42" s="306" t="n">
        <f aca="false">-Sudam!H44</f>
        <v>-0</v>
      </c>
      <c r="I42" s="306" t="n">
        <f aca="false">-Sudam!I44</f>
        <v>-0</v>
      </c>
      <c r="J42" s="306" t="n">
        <f aca="false">-Sudam!J44</f>
        <v>-0</v>
      </c>
      <c r="K42" s="306" t="n">
        <f aca="false">-Sudam!K44</f>
        <v>-0</v>
      </c>
      <c r="L42" s="306" t="n">
        <f aca="false">-Sudam!L44</f>
        <v>-47.9415472258764</v>
      </c>
      <c r="M42" s="306" t="n">
        <f aca="false">-Sudam!M44</f>
        <v>-140.884811356672</v>
      </c>
      <c r="N42" s="306" t="n">
        <f aca="false">-Sudam!N44</f>
        <v>-99.5873614419652</v>
      </c>
      <c r="O42" s="306" t="n">
        <f aca="false">-Sudam!O44</f>
        <v>-118.994493173663</v>
      </c>
      <c r="P42" s="306" t="n">
        <f aca="false">-Sudam!P44</f>
        <v>-144.356573254031</v>
      </c>
      <c r="Q42" s="306" t="n">
        <f aca="false">-Sudam!Q44</f>
        <v>-170.647785563016</v>
      </c>
      <c r="R42" s="306" t="n">
        <f aca="false">-Sudam!R44</f>
        <v>-152.524990260864</v>
      </c>
      <c r="S42" s="306" t="n">
        <f aca="false">-Sudam!S44</f>
        <v>-0</v>
      </c>
      <c r="T42" s="306" t="n">
        <f aca="false">-Sudam!T44</f>
        <v>-0</v>
      </c>
      <c r="U42" s="306" t="n">
        <f aca="false">-Sudam!U44</f>
        <v>-0</v>
      </c>
      <c r="V42" s="306" t="n">
        <f aca="false">-Sudam!V44</f>
        <v>-0</v>
      </c>
      <c r="W42" s="306" t="n">
        <f aca="false">-Sudam!W44</f>
        <v>-0</v>
      </c>
      <c r="X42" s="306" t="n">
        <f aca="false">-Sudam!X44</f>
        <v>-0</v>
      </c>
      <c r="Y42" s="307" t="n">
        <f aca="false">SUM(D42:X42)</f>
        <v>-874.937562276088</v>
      </c>
      <c r="Z42" s="39"/>
      <c r="AA42" s="136" t="n">
        <f aca="false">AA41+1</f>
        <v>36</v>
      </c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</row>
    <row r="43" customFormat="false" ht="12.75" hidden="false" customHeight="false" outlineLevel="0" collapsed="false">
      <c r="A43" s="37" t="s">
        <v>815</v>
      </c>
      <c r="B43" s="39"/>
      <c r="C43" s="39"/>
      <c r="D43" s="61" t="n">
        <f aca="false">SUM(D41:D42)</f>
        <v>0</v>
      </c>
      <c r="E43" s="61" t="n">
        <f aca="false">SUM(E41:E42)</f>
        <v>0</v>
      </c>
      <c r="F43" s="61" t="n">
        <f aca="false">SUM(F41:F42)</f>
        <v>0</v>
      </c>
      <c r="G43" s="61" t="n">
        <f aca="false">SUM(G41:G42)</f>
        <v>0</v>
      </c>
      <c r="H43" s="61" t="n">
        <f aca="false">SUM(H41:H42)</f>
        <v>0</v>
      </c>
      <c r="I43" s="61" t="n">
        <f aca="false">SUM(I41:I42)</f>
        <v>0</v>
      </c>
      <c r="J43" s="61" t="n">
        <f aca="false">SUM(J41:J42)</f>
        <v>0</v>
      </c>
      <c r="K43" s="61" t="n">
        <f aca="false">SUM(K41:K42)</f>
        <v>0</v>
      </c>
      <c r="L43" s="61" t="n">
        <f aca="false">SUM(L41:L42)</f>
        <v>78.6592216262957</v>
      </c>
      <c r="M43" s="61" t="n">
        <f aca="false">SUM(M41:M42)</f>
        <v>245.957097061729</v>
      </c>
      <c r="N43" s="61" t="n">
        <f aca="false">SUM(N41:N42)</f>
        <v>450.466299252758</v>
      </c>
      <c r="O43" s="61" t="n">
        <f aca="false">SUM(O41:O42)</f>
        <v>539.739105218569</v>
      </c>
      <c r="P43" s="61" t="n">
        <f aca="false">SUM(P41:P42)</f>
        <v>656.404673588261</v>
      </c>
      <c r="Q43" s="61" t="n">
        <f aca="false">SUM(Q41:Q42)</f>
        <v>777.34425020959</v>
      </c>
      <c r="R43" s="61" t="n">
        <f aca="false">SUM(R41:R42)</f>
        <v>693.979391819693</v>
      </c>
      <c r="S43" s="61" t="n">
        <f aca="false">SUM(S41:S42)</f>
        <v>1209.98721335914</v>
      </c>
      <c r="T43" s="61" t="n">
        <f aca="false">SUM(T41:T42)</f>
        <v>1391.89656589251</v>
      </c>
      <c r="U43" s="61" t="n">
        <f aca="false">SUM(U41:U42)</f>
        <v>1501.63182932697</v>
      </c>
      <c r="V43" s="61" t="n">
        <f aca="false">SUM(V41:V42)</f>
        <v>1575.98396460586</v>
      </c>
      <c r="W43" s="61" t="n">
        <f aca="false">SUM(W41:W42)</f>
        <v>1719.08299143022</v>
      </c>
      <c r="X43" s="61" t="n">
        <f aca="false">SUM(X41:X42)</f>
        <v>823.76009466164</v>
      </c>
      <c r="Y43" s="304" t="n">
        <f aca="false">SUM(D43:X43)</f>
        <v>11664.8926980532</v>
      </c>
      <c r="Z43" s="39"/>
      <c r="AA43" s="136" t="n">
        <f aca="false">AA42+1</f>
        <v>37</v>
      </c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</row>
    <row r="44" customFormat="false" ht="12.75" hidden="false" customHeight="false" outlineLevel="0" collapsed="false">
      <c r="A44" s="37"/>
      <c r="B44" s="39"/>
      <c r="C44" s="39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418"/>
      <c r="Z44" s="39"/>
      <c r="AA44" s="136" t="n">
        <f aca="false">AA43+1</f>
        <v>38</v>
      </c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  <c r="HW44" s="39"/>
      <c r="HX44" s="39"/>
      <c r="HY44" s="39"/>
      <c r="HZ44" s="39"/>
      <c r="IA44" s="39"/>
      <c r="IB44" s="39"/>
      <c r="IC44" s="39"/>
      <c r="ID44" s="39"/>
      <c r="IE44" s="39"/>
      <c r="IF44" s="39"/>
      <c r="IG44" s="39"/>
      <c r="IH44" s="39"/>
      <c r="II44" s="39"/>
      <c r="IJ44" s="39"/>
      <c r="IK44" s="39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</row>
    <row r="45" customFormat="false" ht="12.75" hidden="false" customHeight="false" outlineLevel="0" collapsed="false">
      <c r="A45" s="303" t="s">
        <v>65</v>
      </c>
      <c r="B45" s="39"/>
      <c r="C45" s="39"/>
      <c r="D45" s="368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68"/>
      <c r="R45" s="368"/>
      <c r="S45" s="368"/>
      <c r="T45" s="368"/>
      <c r="U45" s="368"/>
      <c r="V45" s="368"/>
      <c r="W45" s="368"/>
      <c r="X45" s="368"/>
      <c r="Y45" s="418"/>
      <c r="Z45" s="39"/>
      <c r="AA45" s="136" t="n">
        <f aca="false">AA44+1</f>
        <v>39</v>
      </c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</row>
    <row r="46" customFormat="false" ht="12.75" hidden="false" customHeight="false" outlineLevel="0" collapsed="false">
      <c r="A46" s="37" t="s">
        <v>812</v>
      </c>
      <c r="B46" s="39"/>
      <c r="C46" s="39"/>
      <c r="D46" s="61" t="n">
        <f aca="false">D$30</f>
        <v>0</v>
      </c>
      <c r="E46" s="61" t="n">
        <f aca="false">E$30</f>
        <v>0</v>
      </c>
      <c r="F46" s="61" t="n">
        <f aca="false">F$30</f>
        <v>0</v>
      </c>
      <c r="G46" s="61" t="n">
        <f aca="false">G$30</f>
        <v>0</v>
      </c>
      <c r="H46" s="61" t="n">
        <f aca="false">H$30</f>
        <v>0</v>
      </c>
      <c r="I46" s="61" t="n">
        <f aca="false">I$30</f>
        <v>0</v>
      </c>
      <c r="J46" s="61" t="n">
        <f aca="false">J$30</f>
        <v>0</v>
      </c>
      <c r="K46" s="61" t="n">
        <f aca="false">K$30</f>
        <v>0</v>
      </c>
      <c r="L46" s="61" t="n">
        <f aca="false">L$30</f>
        <v>596.543920479111</v>
      </c>
      <c r="M46" s="61" t="n">
        <f aca="false">M$30</f>
        <v>1637.50847874403</v>
      </c>
      <c r="N46" s="61" t="n">
        <f aca="false">N$30</f>
        <v>2290.35548784932</v>
      </c>
      <c r="O46" s="61" t="n">
        <f aca="false">O$30</f>
        <v>2725.07523863935</v>
      </c>
      <c r="P46" s="61" t="n">
        <f aca="false">P$30</f>
        <v>3293.18583243959</v>
      </c>
      <c r="Q46" s="61" t="n">
        <f aca="false">Q$30</f>
        <v>3882.10898816084</v>
      </c>
      <c r="R46" s="61" t="n">
        <f aca="false">R$30</f>
        <v>3476.15837339265</v>
      </c>
      <c r="S46" s="61" t="n">
        <f aca="false">S$30</f>
        <v>4930.08969850698</v>
      </c>
      <c r="T46" s="61" t="n">
        <f aca="false">T$30</f>
        <v>5657.72710864045</v>
      </c>
      <c r="U46" s="61" t="n">
        <f aca="false">U$30</f>
        <v>6096.6681623783</v>
      </c>
      <c r="V46" s="61" t="n">
        <f aca="false">V$30</f>
        <v>6394.07670349387</v>
      </c>
      <c r="W46" s="61" t="n">
        <f aca="false">W$30</f>
        <v>6966.47281079132</v>
      </c>
      <c r="X46" s="61" t="n">
        <f aca="false">X$30</f>
        <v>3325.08732700337</v>
      </c>
      <c r="Y46" s="304" t="n">
        <f aca="false">SUM(D46:X46)</f>
        <v>51271.0581305192</v>
      </c>
      <c r="Z46" s="39"/>
      <c r="AA46" s="136" t="n">
        <f aca="false">AA45+1</f>
        <v>40</v>
      </c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</row>
    <row r="47" customFormat="false" ht="12.75" hidden="false" customHeight="false" outlineLevel="0" collapsed="false">
      <c r="A47" s="37" t="s">
        <v>816</v>
      </c>
      <c r="B47" s="39"/>
      <c r="C47" s="39"/>
      <c r="D47" s="519" t="n">
        <f aca="false">Soc_Tax</f>
        <v>0.08</v>
      </c>
      <c r="E47" s="519" t="n">
        <f aca="false">Soc_Tax</f>
        <v>0.08</v>
      </c>
      <c r="F47" s="519" t="n">
        <f aca="false">Soc_Tax</f>
        <v>0.08</v>
      </c>
      <c r="G47" s="519" t="n">
        <f aca="false">Soc_Tax</f>
        <v>0.08</v>
      </c>
      <c r="H47" s="519" t="n">
        <f aca="false">Soc_Tax</f>
        <v>0.08</v>
      </c>
      <c r="I47" s="519" t="n">
        <f aca="false">Soc_Tax</f>
        <v>0.08</v>
      </c>
      <c r="J47" s="519" t="n">
        <f aca="false">Soc_Tax</f>
        <v>0.08</v>
      </c>
      <c r="K47" s="519" t="n">
        <f aca="false">Soc_Tax</f>
        <v>0.08</v>
      </c>
      <c r="L47" s="519" t="n">
        <f aca="false">Soc_Tax</f>
        <v>0.08</v>
      </c>
      <c r="M47" s="519" t="n">
        <f aca="false">Soc_Tax</f>
        <v>0.08</v>
      </c>
      <c r="N47" s="519" t="n">
        <f aca="false">Soc_Tax</f>
        <v>0.08</v>
      </c>
      <c r="O47" s="519" t="n">
        <f aca="false">Soc_Tax</f>
        <v>0.08</v>
      </c>
      <c r="P47" s="519" t="n">
        <f aca="false">Soc_Tax</f>
        <v>0.08</v>
      </c>
      <c r="Q47" s="519" t="n">
        <f aca="false">Soc_Tax</f>
        <v>0.08</v>
      </c>
      <c r="R47" s="519" t="n">
        <f aca="false">Soc_Tax</f>
        <v>0.08</v>
      </c>
      <c r="S47" s="519" t="n">
        <f aca="false">Soc_Tax</f>
        <v>0.08</v>
      </c>
      <c r="T47" s="519" t="n">
        <f aca="false">Soc_Tax</f>
        <v>0.08</v>
      </c>
      <c r="U47" s="519" t="n">
        <f aca="false">Soc_Tax</f>
        <v>0.08</v>
      </c>
      <c r="V47" s="519" t="n">
        <f aca="false">Soc_Tax</f>
        <v>0.08</v>
      </c>
      <c r="W47" s="519" t="n">
        <f aca="false">Soc_Tax</f>
        <v>0.08</v>
      </c>
      <c r="X47" s="519" t="n">
        <f aca="false">Soc_Tax</f>
        <v>0.08</v>
      </c>
      <c r="Y47" s="418"/>
      <c r="Z47" s="39"/>
      <c r="AA47" s="136" t="n">
        <f aca="false">AA46+1</f>
        <v>41</v>
      </c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</row>
    <row r="48" customFormat="false" ht="12.75" hidden="false" customHeight="false" outlineLevel="0" collapsed="false">
      <c r="A48" s="37" t="s">
        <v>817</v>
      </c>
      <c r="B48" s="39"/>
      <c r="C48" s="39"/>
      <c r="D48" s="61" t="n">
        <f aca="false">D47*D46</f>
        <v>0</v>
      </c>
      <c r="E48" s="61" t="n">
        <f aca="false">E47*E46</f>
        <v>0</v>
      </c>
      <c r="F48" s="61" t="n">
        <f aca="false">F47*F46</f>
        <v>0</v>
      </c>
      <c r="G48" s="61" t="n">
        <f aca="false">G47*G46</f>
        <v>0</v>
      </c>
      <c r="H48" s="61" t="n">
        <f aca="false">H47*H46</f>
        <v>0</v>
      </c>
      <c r="I48" s="61" t="n">
        <f aca="false">I47*I46</f>
        <v>0</v>
      </c>
      <c r="J48" s="61" t="n">
        <f aca="false">J47*J46</f>
        <v>0</v>
      </c>
      <c r="K48" s="61" t="n">
        <f aca="false">K47*K46</f>
        <v>0</v>
      </c>
      <c r="L48" s="61" t="n">
        <f aca="false">L47*L46</f>
        <v>47.7235136383289</v>
      </c>
      <c r="M48" s="61" t="n">
        <f aca="false">M47*M46</f>
        <v>131.000678299522</v>
      </c>
      <c r="N48" s="61" t="n">
        <f aca="false">N47*N46</f>
        <v>183.228439027945</v>
      </c>
      <c r="O48" s="61" t="n">
        <f aca="false">O47*O46</f>
        <v>218.006019091148</v>
      </c>
      <c r="P48" s="61" t="n">
        <f aca="false">P47*P46</f>
        <v>263.454866595167</v>
      </c>
      <c r="Q48" s="61" t="n">
        <f aca="false">Q47*Q46</f>
        <v>310.568719052867</v>
      </c>
      <c r="R48" s="61" t="n">
        <f aca="false">R47*R46</f>
        <v>278.092669871412</v>
      </c>
      <c r="S48" s="61" t="n">
        <f aca="false">S47*S46</f>
        <v>394.407175880558</v>
      </c>
      <c r="T48" s="61" t="n">
        <f aca="false">T47*T46</f>
        <v>452.618168691236</v>
      </c>
      <c r="U48" s="61" t="n">
        <f aca="false">U47*U46</f>
        <v>487.733452990264</v>
      </c>
      <c r="V48" s="61" t="n">
        <f aca="false">V47*V46</f>
        <v>511.52613627951</v>
      </c>
      <c r="W48" s="61" t="n">
        <f aca="false">W47*W46</f>
        <v>557.317824863306</v>
      </c>
      <c r="X48" s="61" t="n">
        <f aca="false">X47*X46</f>
        <v>266.006986160269</v>
      </c>
      <c r="Y48" s="304" t="n">
        <f aca="false">SUM(D48:X48)</f>
        <v>4101.68465044153</v>
      </c>
      <c r="Z48" s="39"/>
      <c r="AA48" s="136" t="n">
        <f aca="false">AA47+1</f>
        <v>42</v>
      </c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</row>
    <row r="49" customFormat="false" ht="12.75" hidden="false" customHeight="false" outlineLevel="0" collapsed="false">
      <c r="A49" s="37"/>
      <c r="B49" s="39"/>
      <c r="C49" s="39"/>
      <c r="D49" s="315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418"/>
      <c r="Z49" s="39"/>
      <c r="AA49" s="136" t="n">
        <f aca="false">AA48+1</f>
        <v>43</v>
      </c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  <c r="HW49" s="39"/>
      <c r="HX49" s="39"/>
      <c r="HY49" s="39"/>
      <c r="HZ49" s="39"/>
      <c r="IA49" s="39"/>
      <c r="IB49" s="39"/>
      <c r="IC49" s="39"/>
      <c r="ID49" s="39"/>
      <c r="IE49" s="39"/>
      <c r="IF49" s="39"/>
      <c r="IG49" s="39"/>
      <c r="IH49" s="39"/>
      <c r="II49" s="39"/>
      <c r="IJ49" s="39"/>
      <c r="IK49" s="39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</row>
    <row r="50" customFormat="false" ht="12.75" hidden="false" customHeight="false" outlineLevel="0" collapsed="false">
      <c r="A50" s="72" t="s">
        <v>818</v>
      </c>
      <c r="B50" s="39"/>
      <c r="C50" s="39"/>
      <c r="D50" s="61" t="n">
        <f aca="false">SUM(D32,D39,D48)</f>
        <v>0</v>
      </c>
      <c r="E50" s="61" t="n">
        <f aca="false">SUM(E32,E39,E48)</f>
        <v>0</v>
      </c>
      <c r="F50" s="61" t="n">
        <f aca="false">SUM(F32,F39,F48)</f>
        <v>0</v>
      </c>
      <c r="G50" s="61" t="n">
        <f aca="false">SUM(G32,G39,G48)</f>
        <v>0</v>
      </c>
      <c r="H50" s="61" t="n">
        <f aca="false">SUM(H32,H39,H48)</f>
        <v>0</v>
      </c>
      <c r="I50" s="61" t="n">
        <f aca="false">SUM(I32,I39,I48)</f>
        <v>0</v>
      </c>
      <c r="J50" s="61" t="n">
        <f aca="false">SUM(J32,J39,J48)</f>
        <v>0</v>
      </c>
      <c r="K50" s="61" t="n">
        <f aca="false">SUM(K32,K39,K48)</f>
        <v>0</v>
      </c>
      <c r="L50" s="61" t="n">
        <f aca="false">SUM(L32,L39,L48)</f>
        <v>174.324282490501</v>
      </c>
      <c r="M50" s="61" t="n">
        <f aca="false">SUM(M32,M39,M48)</f>
        <v>517.842586717923</v>
      </c>
      <c r="N50" s="61" t="n">
        <f aca="false">SUM(N32,N39,N48)</f>
        <v>733.282099722669</v>
      </c>
      <c r="O50" s="61" t="n">
        <f aca="false">SUM(O32,O39,O48)</f>
        <v>876.73961748338</v>
      </c>
      <c r="P50" s="61" t="n">
        <f aca="false">SUM(P32,P39,P48)</f>
        <v>1064.21611343746</v>
      </c>
      <c r="Q50" s="61" t="n">
        <f aca="false">SUM(Q32,Q39,Q48)</f>
        <v>1258.56075482547</v>
      </c>
      <c r="R50" s="61" t="n">
        <f aca="false">SUM(R32,R39,R48)</f>
        <v>1124.59705195197</v>
      </c>
      <c r="S50" s="61" t="n">
        <f aca="false">SUM(S32,S39,S48)</f>
        <v>1604.3943892397</v>
      </c>
      <c r="T50" s="61" t="n">
        <f aca="false">SUM(T32,T39,T48)</f>
        <v>1844.51473458374</v>
      </c>
      <c r="U50" s="61" t="n">
        <f aca="false">SUM(U32,U39,U48)</f>
        <v>1989.36528231723</v>
      </c>
      <c r="V50" s="61" t="n">
        <f aca="false">SUM(V32,V39,V48)</f>
        <v>2087.51010088537</v>
      </c>
      <c r="W50" s="61" t="n">
        <f aca="false">SUM(W32,W39,W48)</f>
        <v>2276.40081629353</v>
      </c>
      <c r="X50" s="61" t="n">
        <f aca="false">SUM(X32,X39,X48)</f>
        <v>1089.76708082191</v>
      </c>
      <c r="Y50" s="304" t="n">
        <f aca="false">SUM(D50:X50)</f>
        <v>16641.5149107709</v>
      </c>
      <c r="Z50" s="39"/>
      <c r="AA50" s="136" t="n">
        <f aca="false">AA49+1</f>
        <v>44</v>
      </c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</row>
    <row r="51" customFormat="false" ht="12.75" hidden="false" customHeight="false" outlineLevel="0" collapsed="false">
      <c r="A51" s="72" t="s">
        <v>819</v>
      </c>
      <c r="B51" s="39"/>
      <c r="C51" s="39"/>
      <c r="D51" s="306" t="n">
        <f aca="false">D42</f>
        <v>-0</v>
      </c>
      <c r="E51" s="306" t="n">
        <f aca="false">E42</f>
        <v>-0</v>
      </c>
      <c r="F51" s="306" t="n">
        <f aca="false">F42</f>
        <v>-0</v>
      </c>
      <c r="G51" s="306" t="n">
        <f aca="false">G42</f>
        <v>-0</v>
      </c>
      <c r="H51" s="306" t="n">
        <f aca="false">H42</f>
        <v>-0</v>
      </c>
      <c r="I51" s="306" t="n">
        <f aca="false">I42</f>
        <v>-0</v>
      </c>
      <c r="J51" s="306" t="n">
        <f aca="false">J42</f>
        <v>-0</v>
      </c>
      <c r="K51" s="306" t="n">
        <f aca="false">K42</f>
        <v>-0</v>
      </c>
      <c r="L51" s="306" t="n">
        <f aca="false">L42</f>
        <v>-47.9415472258764</v>
      </c>
      <c r="M51" s="306" t="n">
        <f aca="false">M42</f>
        <v>-140.884811356672</v>
      </c>
      <c r="N51" s="306" t="n">
        <f aca="false">N42</f>
        <v>-99.5873614419652</v>
      </c>
      <c r="O51" s="306" t="n">
        <f aca="false">O42</f>
        <v>-118.994493173663</v>
      </c>
      <c r="P51" s="306" t="n">
        <f aca="false">P42</f>
        <v>-144.356573254031</v>
      </c>
      <c r="Q51" s="306" t="n">
        <f aca="false">Q42</f>
        <v>-170.647785563016</v>
      </c>
      <c r="R51" s="306" t="n">
        <f aca="false">R42</f>
        <v>-152.524990260864</v>
      </c>
      <c r="S51" s="306" t="n">
        <f aca="false">S42</f>
        <v>-0</v>
      </c>
      <c r="T51" s="306" t="n">
        <f aca="false">T42</f>
        <v>-0</v>
      </c>
      <c r="U51" s="306" t="n">
        <f aca="false">U42</f>
        <v>-0</v>
      </c>
      <c r="V51" s="306" t="n">
        <f aca="false">V42</f>
        <v>-0</v>
      </c>
      <c r="W51" s="306" t="n">
        <f aca="false">W42</f>
        <v>-0</v>
      </c>
      <c r="X51" s="306" t="n">
        <f aca="false">X42</f>
        <v>-0</v>
      </c>
      <c r="Y51" s="307" t="n">
        <f aca="false">SUM(D51:X51)</f>
        <v>-874.937562276088</v>
      </c>
      <c r="Z51" s="39"/>
      <c r="AA51" s="136" t="n">
        <f aca="false">AA50+1</f>
        <v>45</v>
      </c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</row>
    <row r="52" customFormat="false" ht="12.75" hidden="false" customHeight="false" outlineLevel="0" collapsed="false">
      <c r="A52" s="303" t="s">
        <v>820</v>
      </c>
      <c r="B52" s="39"/>
      <c r="C52" s="39"/>
      <c r="D52" s="308" t="n">
        <f aca="false">SUM(D50:D51)</f>
        <v>0</v>
      </c>
      <c r="E52" s="308" t="n">
        <f aca="false">SUM(E50:E51)</f>
        <v>0</v>
      </c>
      <c r="F52" s="308" t="n">
        <f aca="false">SUM(F50:F51)</f>
        <v>0</v>
      </c>
      <c r="G52" s="308" t="n">
        <f aca="false">SUM(G50:G51)</f>
        <v>0</v>
      </c>
      <c r="H52" s="308" t="n">
        <f aca="false">SUM(H50:H51)</f>
        <v>0</v>
      </c>
      <c r="I52" s="308" t="n">
        <f aca="false">SUM(I50:I51)</f>
        <v>0</v>
      </c>
      <c r="J52" s="308" t="n">
        <f aca="false">SUM(J50:J51)</f>
        <v>0</v>
      </c>
      <c r="K52" s="308" t="n">
        <f aca="false">SUM(K50:K51)</f>
        <v>0</v>
      </c>
      <c r="L52" s="308" t="n">
        <f aca="false">SUM(L50:L51)</f>
        <v>126.382735264625</v>
      </c>
      <c r="M52" s="308" t="n">
        <f aca="false">SUM(M50:M51)</f>
        <v>376.957775361251</v>
      </c>
      <c r="N52" s="308" t="n">
        <f aca="false">SUM(N50:N51)</f>
        <v>633.694738280704</v>
      </c>
      <c r="O52" s="308" t="n">
        <f aca="false">SUM(O50:O51)</f>
        <v>757.745124309717</v>
      </c>
      <c r="P52" s="308" t="n">
        <f aca="false">SUM(P50:P51)</f>
        <v>919.859540183429</v>
      </c>
      <c r="Q52" s="308" t="n">
        <f aca="false">SUM(Q50:Q51)</f>
        <v>1087.91296926246</v>
      </c>
      <c r="R52" s="308" t="n">
        <f aca="false">SUM(R50:R51)</f>
        <v>972.072061691106</v>
      </c>
      <c r="S52" s="308" t="n">
        <f aca="false">SUM(S50:S51)</f>
        <v>1604.3943892397</v>
      </c>
      <c r="T52" s="308" t="n">
        <f aca="false">SUM(T50:T51)</f>
        <v>1844.51473458374</v>
      </c>
      <c r="U52" s="308" t="n">
        <f aca="false">SUM(U50:U51)</f>
        <v>1989.36528231723</v>
      </c>
      <c r="V52" s="308" t="n">
        <f aca="false">SUM(V50:V51)</f>
        <v>2087.51010088537</v>
      </c>
      <c r="W52" s="308" t="n">
        <f aca="false">SUM(W50:W51)</f>
        <v>2276.40081629353</v>
      </c>
      <c r="X52" s="308" t="n">
        <f aca="false">SUM(X50:X51)</f>
        <v>1089.76708082191</v>
      </c>
      <c r="Y52" s="309" t="n">
        <f aca="false">SUM(D52:X52)</f>
        <v>15766.5773484948</v>
      </c>
      <c r="AA52" s="136" t="n">
        <f aca="false">AA51+1</f>
        <v>46</v>
      </c>
    </row>
    <row r="53" customFormat="false" ht="12.75" hidden="false" customHeight="false" outlineLevel="0" collapsed="false">
      <c r="A53" s="37"/>
      <c r="B53" s="39"/>
      <c r="C53" s="39"/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418"/>
      <c r="AA53" s="136" t="n">
        <f aca="false">AA52+1</f>
        <v>47</v>
      </c>
    </row>
    <row r="54" customFormat="false" ht="12.75" hidden="false" customHeight="false" outlineLevel="0" collapsed="false">
      <c r="A54" s="590" t="s">
        <v>821</v>
      </c>
      <c r="B54" s="466"/>
      <c r="C54" s="466"/>
      <c r="D54" s="889" t="n">
        <f aca="false">IF(D30&lt;=0,0,D52/D30)</f>
        <v>0</v>
      </c>
      <c r="E54" s="889" t="n">
        <f aca="false">IF(E30&lt;=0,0,E52/E30)</f>
        <v>0</v>
      </c>
      <c r="F54" s="889" t="n">
        <f aca="false">IF(F30&lt;=0,0,F52/F30)</f>
        <v>0</v>
      </c>
      <c r="G54" s="889" t="n">
        <f aca="false">IF(G30&lt;=0,0,G52/G30)</f>
        <v>0</v>
      </c>
      <c r="H54" s="889" t="n">
        <f aca="false">IF(H30&lt;=0,0,H52/H30)</f>
        <v>0</v>
      </c>
      <c r="I54" s="889" t="n">
        <f aca="false">IF(I30&lt;=0,0,I52/I30)</f>
        <v>0</v>
      </c>
      <c r="J54" s="889" t="n">
        <f aca="false">IF(J30&lt;=0,0,J52/J30)</f>
        <v>0</v>
      </c>
      <c r="K54" s="889" t="n">
        <f aca="false">IF(K30&lt;=0,0,K52/K30)</f>
        <v>0</v>
      </c>
      <c r="L54" s="889" t="n">
        <f aca="false">IF(L30&lt;=0,0,L52/L30)</f>
        <v>0.211858223553969</v>
      </c>
      <c r="M54" s="889" t="n">
        <f aca="false">IF(M30&lt;=0,0,M52/M30)</f>
        <v>0.230202029641018</v>
      </c>
      <c r="N54" s="889" t="n">
        <f aca="false">IF(N30&lt;=0,0,N52/N30)</f>
        <v>0.276679642807656</v>
      </c>
      <c r="O54" s="889" t="n">
        <f aca="false">IF(O30&lt;=0,0,O52/O30)</f>
        <v>0.278063927764455</v>
      </c>
      <c r="P54" s="889" t="n">
        <f aca="false">IF(P30&lt;=0,0,P52/P30)</f>
        <v>0.27932208717842</v>
      </c>
      <c r="Q54" s="889" t="n">
        <f aca="false">IF(Q30&lt;=0,0,Q52/Q30)</f>
        <v>0.280237616352409</v>
      </c>
      <c r="R54" s="889" t="n">
        <f aca="false">IF(R30&lt;=0,0,R52/R30)</f>
        <v>0.279639750919169</v>
      </c>
      <c r="S54" s="889" t="n">
        <f aca="false">IF(S30&lt;=0,0,S52/S30)</f>
        <v>0.325429046397588</v>
      </c>
      <c r="T54" s="889" t="n">
        <f aca="false">IF(T30&lt;=0,0,T52/T30)</f>
        <v>0.326016914419009</v>
      </c>
      <c r="U54" s="889" t="n">
        <f aca="false">IF(U30&lt;=0,0,U52/U30)</f>
        <v>0.32630368413248</v>
      </c>
      <c r="V54" s="889" t="n">
        <f aca="false">IF(V30&lt;=0,0,V52/V30)</f>
        <v>0.32647561136461</v>
      </c>
      <c r="W54" s="889" t="n">
        <f aca="false">IF(W30&lt;=0,0,W52/W30)</f>
        <v>0.326765190666833</v>
      </c>
      <c r="X54" s="889" t="n">
        <f aca="false">IF(X30&lt;=0,0,X52/X30)</f>
        <v>0.327740890283332</v>
      </c>
      <c r="Y54" s="890"/>
      <c r="AA54" s="136" t="n">
        <f aca="false">AA53+1</f>
        <v>48</v>
      </c>
    </row>
    <row r="55" customFormat="false" ht="12.75" hidden="false" customHeight="false" outlineLevel="0" collapsed="false">
      <c r="A55" s="37"/>
      <c r="B55" s="39"/>
      <c r="C55" s="39"/>
      <c r="D55" s="781"/>
      <c r="E55" s="781"/>
      <c r="F55" s="781"/>
      <c r="G55" s="781"/>
      <c r="H55" s="781"/>
      <c r="I55" s="781"/>
      <c r="J55" s="781"/>
      <c r="K55" s="781"/>
      <c r="L55" s="781"/>
      <c r="M55" s="781"/>
      <c r="N55" s="781"/>
      <c r="O55" s="781"/>
      <c r="P55" s="781"/>
      <c r="Q55" s="781"/>
      <c r="R55" s="781"/>
      <c r="S55" s="781"/>
      <c r="T55" s="781"/>
      <c r="U55" s="781"/>
      <c r="V55" s="781"/>
      <c r="W55" s="781"/>
      <c r="X55" s="781"/>
      <c r="Y55" s="891"/>
      <c r="AA55" s="136" t="n">
        <f aca="false">AA54+1</f>
        <v>49</v>
      </c>
    </row>
    <row r="56" customFormat="false" ht="12.75" hidden="false" customHeight="false" outlineLevel="0" collapsed="false">
      <c r="A56" s="303" t="s">
        <v>822</v>
      </c>
      <c r="B56" s="38"/>
      <c r="C56" s="39"/>
      <c r="D56" s="892"/>
      <c r="E56" s="892"/>
      <c r="F56" s="892"/>
      <c r="G56" s="892"/>
      <c r="H56" s="892"/>
      <c r="I56" s="892"/>
      <c r="J56" s="892"/>
      <c r="K56" s="892"/>
      <c r="L56" s="892"/>
      <c r="M56" s="892"/>
      <c r="N56" s="892"/>
      <c r="O56" s="892"/>
      <c r="P56" s="892"/>
      <c r="Q56" s="892"/>
      <c r="R56" s="892"/>
      <c r="S56" s="892"/>
      <c r="T56" s="892"/>
      <c r="U56" s="892"/>
      <c r="V56" s="892"/>
      <c r="W56" s="892"/>
      <c r="X56" s="892"/>
      <c r="Y56" s="893"/>
      <c r="Z56" s="39"/>
      <c r="AA56" s="136" t="n">
        <f aca="false">AA55+1</f>
        <v>50</v>
      </c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39"/>
      <c r="FT56" s="39"/>
      <c r="FU56" s="39"/>
      <c r="FV56" s="39"/>
      <c r="FW56" s="39"/>
      <c r="FX56" s="39"/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  <c r="HW56" s="39"/>
      <c r="HX56" s="39"/>
      <c r="HY56" s="39"/>
      <c r="HZ56" s="39"/>
      <c r="IA56" s="39"/>
      <c r="IB56" s="39"/>
      <c r="IC56" s="39"/>
      <c r="ID56" s="39"/>
      <c r="IE56" s="39"/>
      <c r="IF56" s="39"/>
      <c r="IG56" s="39"/>
      <c r="IH56" s="39"/>
      <c r="II56" s="39"/>
      <c r="IJ56" s="39"/>
      <c r="IK56" s="39"/>
      <c r="IL56" s="39"/>
      <c r="IM56" s="39"/>
      <c r="IN56" s="39"/>
      <c r="IO56" s="39"/>
      <c r="IP56" s="39"/>
      <c r="IQ56" s="39"/>
      <c r="IR56" s="39"/>
      <c r="IS56" s="39"/>
      <c r="IT56" s="39"/>
      <c r="IU56" s="39"/>
      <c r="IV56" s="39"/>
      <c r="IW56" s="39"/>
    </row>
    <row r="57" customFormat="false" ht="12.75" hidden="false" customHeight="false" outlineLevel="0" collapsed="false">
      <c r="A57" s="37" t="s">
        <v>823</v>
      </c>
      <c r="B57" s="39"/>
      <c r="C57" s="39"/>
      <c r="D57" s="61" t="n">
        <f aca="false">D32</f>
        <v>0</v>
      </c>
      <c r="E57" s="61" t="n">
        <f aca="false">E32</f>
        <v>0</v>
      </c>
      <c r="F57" s="61" t="n">
        <f aca="false">F32</f>
        <v>0</v>
      </c>
      <c r="G57" s="61" t="n">
        <f aca="false">G32</f>
        <v>0</v>
      </c>
      <c r="H57" s="61" t="n">
        <f aca="false">H32</f>
        <v>0</v>
      </c>
      <c r="I57" s="61" t="n">
        <f aca="false">I32</f>
        <v>0</v>
      </c>
      <c r="J57" s="61" t="n">
        <f aca="false">J32</f>
        <v>0</v>
      </c>
      <c r="K57" s="61" t="n">
        <f aca="false">K32</f>
        <v>0</v>
      </c>
      <c r="L57" s="61" t="n">
        <f aca="false">L32</f>
        <v>89.4815880718666</v>
      </c>
      <c r="M57" s="61" t="n">
        <f aca="false">M32</f>
        <v>245.626271811604</v>
      </c>
      <c r="N57" s="61" t="n">
        <f aca="false">N32</f>
        <v>343.553323177398</v>
      </c>
      <c r="O57" s="61" t="n">
        <f aca="false">O32</f>
        <v>408.761285795902</v>
      </c>
      <c r="P57" s="61" t="n">
        <f aca="false">P32</f>
        <v>493.977874865939</v>
      </c>
      <c r="Q57" s="61" t="n">
        <f aca="false">Q32</f>
        <v>582.316348224126</v>
      </c>
      <c r="R57" s="61" t="n">
        <f aca="false">R32</f>
        <v>521.423756008898</v>
      </c>
      <c r="S57" s="61" t="n">
        <f aca="false">S32</f>
        <v>739.513454776046</v>
      </c>
      <c r="T57" s="61" t="n">
        <f aca="false">T32</f>
        <v>848.659066296067</v>
      </c>
      <c r="U57" s="61" t="n">
        <f aca="false">U32</f>
        <v>914.500224356745</v>
      </c>
      <c r="V57" s="61" t="n">
        <f aca="false">V32</f>
        <v>959.111505524081</v>
      </c>
      <c r="W57" s="61" t="n">
        <f aca="false">W32</f>
        <v>1044.9709216187</v>
      </c>
      <c r="X57" s="61" t="n">
        <f aca="false">X32</f>
        <v>498.763099050505</v>
      </c>
      <c r="Y57" s="304" t="n">
        <f aca="false">SUM(D57:X57)</f>
        <v>7690.65871957788</v>
      </c>
      <c r="AA57" s="136" t="n">
        <f aca="false">AA56+1</f>
        <v>51</v>
      </c>
    </row>
    <row r="58" customFormat="false" ht="12.75" hidden="false" customHeight="false" outlineLevel="0" collapsed="false">
      <c r="A58" s="37" t="s">
        <v>824</v>
      </c>
      <c r="B58" s="39"/>
      <c r="C58" s="39"/>
      <c r="D58" s="61" t="n">
        <f aca="false">D39</f>
        <v>0</v>
      </c>
      <c r="E58" s="61" t="n">
        <f aca="false">E39</f>
        <v>0</v>
      </c>
      <c r="F58" s="61" t="n">
        <f aca="false">F39</f>
        <v>0</v>
      </c>
      <c r="G58" s="61" t="n">
        <f aca="false">G39</f>
        <v>0</v>
      </c>
      <c r="H58" s="61" t="n">
        <f aca="false">H39</f>
        <v>0</v>
      </c>
      <c r="I58" s="61" t="n">
        <f aca="false">I39</f>
        <v>0</v>
      </c>
      <c r="J58" s="61" t="n">
        <f aca="false">J39</f>
        <v>0</v>
      </c>
      <c r="K58" s="61" t="n">
        <f aca="false">K39</f>
        <v>0</v>
      </c>
      <c r="L58" s="61" t="n">
        <f aca="false">L39</f>
        <v>37.1191807803055</v>
      </c>
      <c r="M58" s="61" t="n">
        <f aca="false">M39</f>
        <v>141.215636606797</v>
      </c>
      <c r="N58" s="61" t="n">
        <f aca="false">N39</f>
        <v>206.500337517326</v>
      </c>
      <c r="O58" s="61" t="n">
        <f aca="false">O39</f>
        <v>249.972312596329</v>
      </c>
      <c r="P58" s="61" t="n">
        <f aca="false">P39</f>
        <v>306.783371976354</v>
      </c>
      <c r="Q58" s="61" t="n">
        <f aca="false">Q39</f>
        <v>365.675687548479</v>
      </c>
      <c r="R58" s="61" t="n">
        <f aca="false">R39</f>
        <v>325.08062607166</v>
      </c>
      <c r="S58" s="61" t="n">
        <f aca="false">S39</f>
        <v>470.473758583092</v>
      </c>
      <c r="T58" s="61" t="n">
        <f aca="false">T39</f>
        <v>543.237499596439</v>
      </c>
      <c r="U58" s="61" t="n">
        <f aca="false">U39</f>
        <v>587.131604970224</v>
      </c>
      <c r="V58" s="61" t="n">
        <f aca="false">V39</f>
        <v>616.872459081782</v>
      </c>
      <c r="W58" s="61" t="n">
        <f aca="false">W39</f>
        <v>674.112069811527</v>
      </c>
      <c r="X58" s="61" t="n">
        <f aca="false">X39</f>
        <v>324.996995611135</v>
      </c>
      <c r="Y58" s="304" t="n">
        <f aca="false">SUM(D58:X58)</f>
        <v>4849.17154075145</v>
      </c>
      <c r="AA58" s="136" t="n">
        <f aca="false">AA57+1</f>
        <v>52</v>
      </c>
    </row>
    <row r="59" customFormat="false" ht="12.75" hidden="false" customHeight="false" outlineLevel="0" collapsed="false">
      <c r="A59" s="37" t="s">
        <v>65</v>
      </c>
      <c r="B59" s="39"/>
      <c r="C59" s="39"/>
      <c r="D59" s="306" t="n">
        <f aca="false">D48</f>
        <v>0</v>
      </c>
      <c r="E59" s="306" t="n">
        <f aca="false">E48</f>
        <v>0</v>
      </c>
      <c r="F59" s="306" t="n">
        <f aca="false">F48</f>
        <v>0</v>
      </c>
      <c r="G59" s="306" t="n">
        <f aca="false">G48</f>
        <v>0</v>
      </c>
      <c r="H59" s="306" t="n">
        <f aca="false">H48</f>
        <v>0</v>
      </c>
      <c r="I59" s="306" t="n">
        <f aca="false">I48</f>
        <v>0</v>
      </c>
      <c r="J59" s="306" t="n">
        <f aca="false">J48</f>
        <v>0</v>
      </c>
      <c r="K59" s="306" t="n">
        <f aca="false">K48</f>
        <v>0</v>
      </c>
      <c r="L59" s="306" t="n">
        <f aca="false">L48</f>
        <v>47.7235136383289</v>
      </c>
      <c r="M59" s="306" t="n">
        <f aca="false">M48</f>
        <v>131.000678299522</v>
      </c>
      <c r="N59" s="306" t="n">
        <f aca="false">N48</f>
        <v>183.228439027945</v>
      </c>
      <c r="O59" s="306" t="n">
        <f aca="false">O48</f>
        <v>218.006019091148</v>
      </c>
      <c r="P59" s="306" t="n">
        <f aca="false">P48</f>
        <v>263.454866595167</v>
      </c>
      <c r="Q59" s="306" t="n">
        <f aca="false">Q48</f>
        <v>310.568719052867</v>
      </c>
      <c r="R59" s="306" t="n">
        <f aca="false">R48</f>
        <v>278.092669871412</v>
      </c>
      <c r="S59" s="306" t="n">
        <f aca="false">S48</f>
        <v>394.407175880558</v>
      </c>
      <c r="T59" s="306" t="n">
        <f aca="false">T48</f>
        <v>452.618168691236</v>
      </c>
      <c r="U59" s="306" t="n">
        <f aca="false">U48</f>
        <v>487.733452990264</v>
      </c>
      <c r="V59" s="306" t="n">
        <f aca="false">V48</f>
        <v>511.52613627951</v>
      </c>
      <c r="W59" s="306" t="n">
        <f aca="false">W48</f>
        <v>557.317824863306</v>
      </c>
      <c r="X59" s="306" t="n">
        <f aca="false">X48</f>
        <v>266.006986160269</v>
      </c>
      <c r="Y59" s="304" t="n">
        <f aca="false">SUM(D59:X59)</f>
        <v>4101.68465044153</v>
      </c>
      <c r="AA59" s="136" t="n">
        <f aca="false">AA58+1</f>
        <v>53</v>
      </c>
    </row>
    <row r="60" customFormat="false" ht="12.75" hidden="false" customHeight="false" outlineLevel="0" collapsed="false">
      <c r="A60" s="37" t="s">
        <v>818</v>
      </c>
      <c r="B60" s="39"/>
      <c r="C60" s="39"/>
      <c r="D60" s="61" t="n">
        <f aca="false">SUM(D57:D59)</f>
        <v>0</v>
      </c>
      <c r="E60" s="61" t="n">
        <f aca="false">SUM(E57:E59)</f>
        <v>0</v>
      </c>
      <c r="F60" s="61" t="n">
        <f aca="false">SUM(F57:F59)</f>
        <v>0</v>
      </c>
      <c r="G60" s="61" t="n">
        <f aca="false">SUM(G57:G59)</f>
        <v>0</v>
      </c>
      <c r="H60" s="61" t="n">
        <f aca="false">SUM(H57:H59)</f>
        <v>0</v>
      </c>
      <c r="I60" s="61" t="n">
        <f aca="false">SUM(I57:I59)</f>
        <v>0</v>
      </c>
      <c r="J60" s="61" t="n">
        <f aca="false">SUM(J57:J59)</f>
        <v>0</v>
      </c>
      <c r="K60" s="61" t="n">
        <f aca="false">SUM(K57:K59)</f>
        <v>0</v>
      </c>
      <c r="L60" s="61" t="n">
        <f aca="false">SUM(L57:L59)</f>
        <v>174.324282490501</v>
      </c>
      <c r="M60" s="61" t="n">
        <f aca="false">SUM(M57:M59)</f>
        <v>517.842586717923</v>
      </c>
      <c r="N60" s="61" t="n">
        <f aca="false">SUM(N57:N59)</f>
        <v>733.282099722669</v>
      </c>
      <c r="O60" s="61" t="n">
        <f aca="false">SUM(O57:O59)</f>
        <v>876.73961748338</v>
      </c>
      <c r="P60" s="61" t="n">
        <f aca="false">SUM(P57:P59)</f>
        <v>1064.21611343746</v>
      </c>
      <c r="Q60" s="61" t="n">
        <f aca="false">SUM(Q57:Q59)</f>
        <v>1258.56075482547</v>
      </c>
      <c r="R60" s="61" t="n">
        <f aca="false">SUM(R57:R59)</f>
        <v>1124.59705195197</v>
      </c>
      <c r="S60" s="61" t="n">
        <f aca="false">SUM(S57:S59)</f>
        <v>1604.3943892397</v>
      </c>
      <c r="T60" s="61" t="n">
        <f aca="false">SUM(T57:T59)</f>
        <v>1844.51473458374</v>
      </c>
      <c r="U60" s="61" t="n">
        <f aca="false">SUM(U57:U59)</f>
        <v>1989.36528231723</v>
      </c>
      <c r="V60" s="61" t="n">
        <f aca="false">SUM(V57:V59)</f>
        <v>2087.51010088537</v>
      </c>
      <c r="W60" s="61" t="n">
        <f aca="false">SUM(W57:W59)</f>
        <v>2276.40081629353</v>
      </c>
      <c r="X60" s="61" t="n">
        <f aca="false">SUM(X57:X59)</f>
        <v>1089.76708082191</v>
      </c>
      <c r="Y60" s="304" t="n">
        <f aca="false">SUM(D60:X60)</f>
        <v>16641.5149107709</v>
      </c>
      <c r="AA60" s="136" t="n">
        <f aca="false">AA59+1</f>
        <v>54</v>
      </c>
    </row>
    <row r="61" customFormat="false" ht="12.75" hidden="false" customHeight="false" outlineLevel="0" collapsed="false">
      <c r="A61" s="37"/>
      <c r="B61" s="39"/>
      <c r="C61" s="39"/>
      <c r="D61" s="315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418"/>
      <c r="Z61" s="39"/>
      <c r="AA61" s="136" t="n">
        <f aca="false">AA60+1</f>
        <v>55</v>
      </c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  <c r="HW61" s="39"/>
      <c r="HX61" s="39"/>
      <c r="HY61" s="39"/>
      <c r="HZ61" s="39"/>
      <c r="IA61" s="39"/>
      <c r="IB61" s="39"/>
      <c r="IC61" s="39"/>
      <c r="ID61" s="39"/>
      <c r="IE61" s="39"/>
      <c r="IF61" s="39"/>
      <c r="IG61" s="39"/>
      <c r="IH61" s="39"/>
      <c r="II61" s="39"/>
      <c r="IJ61" s="39"/>
      <c r="IK61" s="39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</row>
    <row r="62" customFormat="false" ht="12.75" hidden="false" customHeight="false" outlineLevel="0" collapsed="false">
      <c r="A62" s="37" t="s">
        <v>825</v>
      </c>
      <c r="B62" s="39"/>
      <c r="C62" s="39"/>
      <c r="D62" s="61" t="n">
        <f aca="false">Depr!H21</f>
        <v>0</v>
      </c>
      <c r="E62" s="61" t="n">
        <f aca="false">Depr!I21</f>
        <v>0</v>
      </c>
      <c r="F62" s="61" t="n">
        <f aca="false">Depr!J21</f>
        <v>5267.16686015385</v>
      </c>
      <c r="G62" s="61" t="n">
        <f aca="false">Depr!K21</f>
        <v>6320.60023218462</v>
      </c>
      <c r="H62" s="61" t="n">
        <f aca="false">Depr!L21</f>
        <v>6320.60023218462</v>
      </c>
      <c r="I62" s="61" t="n">
        <f aca="false">Depr!M21</f>
        <v>6320.60023218462</v>
      </c>
      <c r="J62" s="61" t="n">
        <f aca="false">Depr!N21</f>
        <v>6320.60023218462</v>
      </c>
      <c r="K62" s="61" t="n">
        <f aca="false">Depr!O21</f>
        <v>6320.60023218462</v>
      </c>
      <c r="L62" s="61" t="n">
        <f aca="false">Depr!P21</f>
        <v>6320.60023218462</v>
      </c>
      <c r="M62" s="61" t="n">
        <f aca="false">Depr!Q21</f>
        <v>6320.60023218462</v>
      </c>
      <c r="N62" s="61" t="n">
        <f aca="false">Depr!R21</f>
        <v>6320.60023218462</v>
      </c>
      <c r="O62" s="61" t="n">
        <f aca="false">Depr!S21</f>
        <v>6320.60023218462</v>
      </c>
      <c r="P62" s="61" t="n">
        <f aca="false">Depr!T21</f>
        <v>6320.60023218462</v>
      </c>
      <c r="Q62" s="61" t="n">
        <f aca="false">Depr!U21</f>
        <v>6320.60023218462</v>
      </c>
      <c r="R62" s="61" t="n">
        <f aca="false">Depr!V21</f>
        <v>6320.60023218462</v>
      </c>
      <c r="S62" s="61" t="n">
        <f aca="false">Depr!W21</f>
        <v>6320.60023218462</v>
      </c>
      <c r="T62" s="61" t="n">
        <f aca="false">Depr!X21</f>
        <v>6320.60023218462</v>
      </c>
      <c r="U62" s="61" t="n">
        <f aca="false">Depr!Y21</f>
        <v>6320.60023218462</v>
      </c>
      <c r="V62" s="61" t="n">
        <f aca="false">Depr!Z21</f>
        <v>6320.60023218462</v>
      </c>
      <c r="W62" s="61" t="n">
        <f aca="false">Depr!AA21</f>
        <v>6320.60023218462</v>
      </c>
      <c r="X62" s="61" t="n">
        <f aca="false">Depr!AB21</f>
        <v>2106.86674406154</v>
      </c>
      <c r="Y62" s="304" t="n">
        <f aca="false">SUM(D62:X62)</f>
        <v>114824.237551354</v>
      </c>
      <c r="AA62" s="136" t="n">
        <f aca="false">AA61+1</f>
        <v>56</v>
      </c>
    </row>
    <row r="63" customFormat="false" ht="12.75" hidden="false" customHeight="false" outlineLevel="0" collapsed="false">
      <c r="A63" s="37" t="s">
        <v>826</v>
      </c>
      <c r="B63" s="39"/>
      <c r="C63" s="39"/>
      <c r="D63" s="61" t="n">
        <f aca="false">-Depr!H31</f>
        <v>-0</v>
      </c>
      <c r="E63" s="61" t="n">
        <f aca="false">-Depr!I31</f>
        <v>-0</v>
      </c>
      <c r="F63" s="61" t="n">
        <f aca="false">-Depr!J31</f>
        <v>-5267.16686015385</v>
      </c>
      <c r="G63" s="61" t="n">
        <f aca="false">-Depr!K31</f>
        <v>-6320.60023218462</v>
      </c>
      <c r="H63" s="61" t="n">
        <f aca="false">-Depr!L31</f>
        <v>-6320.60023218462</v>
      </c>
      <c r="I63" s="61" t="n">
        <f aca="false">-Depr!M31</f>
        <v>-6320.60023218462</v>
      </c>
      <c r="J63" s="61" t="n">
        <f aca="false">-Depr!N31</f>
        <v>-6320.60023218462</v>
      </c>
      <c r="K63" s="61" t="n">
        <f aca="false">-Depr!O31</f>
        <v>-6320.60023218462</v>
      </c>
      <c r="L63" s="61" t="n">
        <f aca="false">-Depr!P31</f>
        <v>-6320.60023218462</v>
      </c>
      <c r="M63" s="61" t="n">
        <f aca="false">-Depr!Q31</f>
        <v>-6320.60023218462</v>
      </c>
      <c r="N63" s="61" t="n">
        <f aca="false">-Depr!R31</f>
        <v>-6320.60023218462</v>
      </c>
      <c r="O63" s="61" t="n">
        <f aca="false">-Depr!S31</f>
        <v>-6320.60023218462</v>
      </c>
      <c r="P63" s="61" t="n">
        <f aca="false">-Depr!T31</f>
        <v>-6320.60023218462</v>
      </c>
      <c r="Q63" s="61" t="n">
        <f aca="false">-Depr!U31</f>
        <v>-6320.60023218462</v>
      </c>
      <c r="R63" s="61" t="n">
        <f aca="false">-Depr!V31</f>
        <v>-6320.60023218462</v>
      </c>
      <c r="S63" s="61" t="n">
        <f aca="false">-Depr!W31</f>
        <v>-6320.60023218462</v>
      </c>
      <c r="T63" s="61" t="n">
        <f aca="false">-Depr!X31</f>
        <v>-6320.60023218462</v>
      </c>
      <c r="U63" s="61" t="n">
        <f aca="false">-Depr!Y31</f>
        <v>-6320.60023218462</v>
      </c>
      <c r="V63" s="61" t="n">
        <f aca="false">-Depr!Z31</f>
        <v>-6320.60023218462</v>
      </c>
      <c r="W63" s="61" t="n">
        <f aca="false">-Depr!AA31</f>
        <v>-6320.60023218462</v>
      </c>
      <c r="X63" s="61" t="n">
        <f aca="false">-Depr!AB31</f>
        <v>-2106.86674406154</v>
      </c>
      <c r="Y63" s="304" t="n">
        <f aca="false">SUM(D63:X63)</f>
        <v>-114824.237551354</v>
      </c>
      <c r="AA63" s="136" t="n">
        <f aca="false">AA62+1</f>
        <v>57</v>
      </c>
    </row>
    <row r="64" customFormat="false" ht="12.75" hidden="false" customHeight="false" outlineLevel="0" collapsed="false">
      <c r="A64" s="37" t="s">
        <v>827</v>
      </c>
      <c r="B64" s="39"/>
      <c r="C64" s="39"/>
      <c r="D64" s="306" t="n">
        <f aca="false">-Trapped!F65</f>
        <v>-0</v>
      </c>
      <c r="E64" s="306" t="n">
        <f aca="false">-Trapped!G65</f>
        <v>-0</v>
      </c>
      <c r="F64" s="306" t="n">
        <f aca="false">-Trapped!H65</f>
        <v>-0</v>
      </c>
      <c r="G64" s="306" t="n">
        <f aca="false">-Trapped!I65</f>
        <v>-0</v>
      </c>
      <c r="H64" s="306" t="n">
        <f aca="false">-Trapped!J65</f>
        <v>-0</v>
      </c>
      <c r="I64" s="306" t="n">
        <f aca="false">-Trapped!K65</f>
        <v>-0</v>
      </c>
      <c r="J64" s="306" t="n">
        <f aca="false">-Trapped!L65</f>
        <v>-0</v>
      </c>
      <c r="K64" s="306" t="n">
        <f aca="false">-Trapped!M65</f>
        <v>-0</v>
      </c>
      <c r="L64" s="306" t="n">
        <f aca="false">-Trapped!N65</f>
        <v>-0</v>
      </c>
      <c r="M64" s="306" t="n">
        <f aca="false">-Trapped!O65</f>
        <v>-0</v>
      </c>
      <c r="N64" s="306" t="n">
        <f aca="false">-Trapped!P65</f>
        <v>-0</v>
      </c>
      <c r="O64" s="306" t="n">
        <f aca="false">-Trapped!Q65</f>
        <v>-0</v>
      </c>
      <c r="P64" s="306" t="n">
        <f aca="false">-Trapped!R65</f>
        <v>-0</v>
      </c>
      <c r="Q64" s="306" t="n">
        <f aca="false">-Trapped!S65</f>
        <v>-0</v>
      </c>
      <c r="R64" s="306" t="n">
        <f aca="false">-Trapped!T65</f>
        <v>-0</v>
      </c>
      <c r="S64" s="306" t="n">
        <f aca="false">-Trapped!U65</f>
        <v>-0</v>
      </c>
      <c r="T64" s="306" t="n">
        <f aca="false">-Trapped!V65</f>
        <v>-0</v>
      </c>
      <c r="U64" s="306" t="n">
        <f aca="false">-Trapped!W65</f>
        <v>-0</v>
      </c>
      <c r="V64" s="306" t="n">
        <f aca="false">-Trapped!X65</f>
        <v>-0</v>
      </c>
      <c r="W64" s="306" t="n">
        <f aca="false">-Trapped!Y65</f>
        <v>-0</v>
      </c>
      <c r="X64" s="306" t="n">
        <f aca="false">-Trapped!Z65</f>
        <v>-0</v>
      </c>
      <c r="Y64" s="304" t="n">
        <f aca="false">SUM(D64:X64)</f>
        <v>0</v>
      </c>
      <c r="AA64" s="136" t="n">
        <f aca="false">AA63+1</f>
        <v>58</v>
      </c>
    </row>
    <row r="65" customFormat="false" ht="12.75" hidden="false" customHeight="false" outlineLevel="0" collapsed="false">
      <c r="A65" s="37" t="s">
        <v>828</v>
      </c>
      <c r="B65" s="39"/>
      <c r="C65" s="39"/>
      <c r="D65" s="61" t="n">
        <f aca="false">SUM(D62:D64)</f>
        <v>0</v>
      </c>
      <c r="E65" s="61" t="n">
        <f aca="false">SUM(E62:E64)</f>
        <v>0</v>
      </c>
      <c r="F65" s="61" t="n">
        <f aca="false">SUM(F62:F64)</f>
        <v>0</v>
      </c>
      <c r="G65" s="61" t="n">
        <f aca="false">SUM(G62:G64)</f>
        <v>0</v>
      </c>
      <c r="H65" s="61" t="n">
        <f aca="false">SUM(H62:H64)</f>
        <v>0</v>
      </c>
      <c r="I65" s="61" t="n">
        <f aca="false">SUM(I62:I64)</f>
        <v>0</v>
      </c>
      <c r="J65" s="61" t="n">
        <f aca="false">SUM(J62:J64)</f>
        <v>0</v>
      </c>
      <c r="K65" s="61" t="n">
        <f aca="false">SUM(K62:K64)</f>
        <v>0</v>
      </c>
      <c r="L65" s="61" t="n">
        <f aca="false">SUM(L62:L64)</f>
        <v>0</v>
      </c>
      <c r="M65" s="61" t="n">
        <f aca="false">SUM(M62:M64)</f>
        <v>0</v>
      </c>
      <c r="N65" s="61" t="n">
        <f aca="false">SUM(N62:N64)</f>
        <v>0</v>
      </c>
      <c r="O65" s="61" t="n">
        <f aca="false">SUM(O62:O64)</f>
        <v>0</v>
      </c>
      <c r="P65" s="61" t="n">
        <f aca="false">SUM(P62:P64)</f>
        <v>0</v>
      </c>
      <c r="Q65" s="61" t="n">
        <f aca="false">SUM(Q62:Q64)</f>
        <v>0</v>
      </c>
      <c r="R65" s="61" t="n">
        <f aca="false">SUM(R62:R64)</f>
        <v>0</v>
      </c>
      <c r="S65" s="61" t="n">
        <f aca="false">SUM(S62:S64)</f>
        <v>0</v>
      </c>
      <c r="T65" s="61" t="n">
        <f aca="false">SUM(T62:T64)</f>
        <v>0</v>
      </c>
      <c r="U65" s="61" t="n">
        <f aca="false">SUM(U62:U64)</f>
        <v>0</v>
      </c>
      <c r="V65" s="61" t="n">
        <f aca="false">SUM(V62:V64)</f>
        <v>0</v>
      </c>
      <c r="W65" s="61" t="n">
        <f aca="false">SUM(W62:W64)</f>
        <v>0</v>
      </c>
      <c r="X65" s="61" t="n">
        <f aca="false">SUM(X62:X64)</f>
        <v>0</v>
      </c>
      <c r="Y65" s="304" t="n">
        <f aca="false">SUM(D65:X65)</f>
        <v>0</v>
      </c>
      <c r="AA65" s="136" t="n">
        <f aca="false">AA64+1</f>
        <v>59</v>
      </c>
    </row>
    <row r="66" customFormat="false" ht="12.75" hidden="false" customHeight="false" outlineLevel="0" collapsed="false">
      <c r="A66" s="37"/>
      <c r="B66" s="39"/>
      <c r="C66" s="39"/>
      <c r="D66" s="315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418"/>
      <c r="Z66" s="39"/>
      <c r="AA66" s="136" t="n">
        <f aca="false">AA65+1</f>
        <v>60</v>
      </c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</row>
    <row r="67" customFormat="false" ht="12.75" hidden="false" customHeight="false" outlineLevel="0" collapsed="false">
      <c r="A67" s="303" t="s">
        <v>54</v>
      </c>
      <c r="B67" s="39"/>
      <c r="C67" s="39"/>
      <c r="D67" s="368"/>
      <c r="E67" s="368"/>
      <c r="F67" s="368"/>
      <c r="G67" s="368"/>
      <c r="H67" s="368"/>
      <c r="I67" s="368"/>
      <c r="J67" s="368"/>
      <c r="K67" s="368"/>
      <c r="L67" s="368"/>
      <c r="M67" s="368"/>
      <c r="N67" s="368"/>
      <c r="O67" s="368"/>
      <c r="P67" s="368"/>
      <c r="Q67" s="368"/>
      <c r="R67" s="368"/>
      <c r="S67" s="368"/>
      <c r="T67" s="368"/>
      <c r="U67" s="368"/>
      <c r="V67" s="368"/>
      <c r="W67" s="368"/>
      <c r="X67" s="368"/>
      <c r="Y67" s="418"/>
      <c r="Z67" s="39"/>
      <c r="AA67" s="136" t="n">
        <f aca="false">AA66+1</f>
        <v>61</v>
      </c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</row>
    <row r="68" customFormat="false" ht="12.75" hidden="false" customHeight="false" outlineLevel="0" collapsed="false">
      <c r="A68" s="37" t="s">
        <v>828</v>
      </c>
      <c r="B68" s="39"/>
      <c r="C68" s="39"/>
      <c r="D68" s="61" t="n">
        <f aca="false">D$65</f>
        <v>0</v>
      </c>
      <c r="E68" s="61" t="n">
        <f aca="false">E$65</f>
        <v>0</v>
      </c>
      <c r="F68" s="61" t="n">
        <f aca="false">F$65</f>
        <v>0</v>
      </c>
      <c r="G68" s="61" t="n">
        <f aca="false">G$65</f>
        <v>0</v>
      </c>
      <c r="H68" s="61" t="n">
        <f aca="false">H$65</f>
        <v>0</v>
      </c>
      <c r="I68" s="61" t="n">
        <f aca="false">I$65</f>
        <v>0</v>
      </c>
      <c r="J68" s="61" t="n">
        <f aca="false">J$65</f>
        <v>0</v>
      </c>
      <c r="K68" s="61" t="n">
        <f aca="false">K$65</f>
        <v>0</v>
      </c>
      <c r="L68" s="61" t="n">
        <f aca="false">L$65</f>
        <v>0</v>
      </c>
      <c r="M68" s="61" t="n">
        <f aca="false">M$65</f>
        <v>0</v>
      </c>
      <c r="N68" s="61" t="n">
        <f aca="false">N$65</f>
        <v>0</v>
      </c>
      <c r="O68" s="61" t="n">
        <f aca="false">O$65</f>
        <v>0</v>
      </c>
      <c r="P68" s="61" t="n">
        <f aca="false">P$65</f>
        <v>0</v>
      </c>
      <c r="Q68" s="61" t="n">
        <f aca="false">Q$65</f>
        <v>0</v>
      </c>
      <c r="R68" s="61" t="n">
        <f aca="false">R$65</f>
        <v>0</v>
      </c>
      <c r="S68" s="61" t="n">
        <f aca="false">S$65</f>
        <v>0</v>
      </c>
      <c r="T68" s="61" t="n">
        <f aca="false">T$65</f>
        <v>0</v>
      </c>
      <c r="U68" s="61" t="n">
        <f aca="false">U$65</f>
        <v>0</v>
      </c>
      <c r="V68" s="61" t="n">
        <f aca="false">V$65</f>
        <v>0</v>
      </c>
      <c r="W68" s="61" t="n">
        <f aca="false">W$65</f>
        <v>0</v>
      </c>
      <c r="X68" s="61" t="n">
        <f aca="false">X$65</f>
        <v>0</v>
      </c>
      <c r="Y68" s="304" t="n">
        <f aca="false">SUM(D68:X68)</f>
        <v>0</v>
      </c>
      <c r="Z68" s="39"/>
      <c r="AA68" s="136" t="n">
        <f aca="false">AA67+1</f>
        <v>62</v>
      </c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</row>
    <row r="69" customFormat="false" ht="12.75" hidden="false" customHeight="false" outlineLevel="0" collapsed="false">
      <c r="A69" s="37" t="s">
        <v>768</v>
      </c>
      <c r="B69" s="39"/>
      <c r="C69" s="39"/>
      <c r="D69" s="519" t="n">
        <f aca="false">Tax</f>
        <v>0.15</v>
      </c>
      <c r="E69" s="519" t="n">
        <f aca="false">Tax</f>
        <v>0.15</v>
      </c>
      <c r="F69" s="519" t="n">
        <f aca="false">Tax</f>
        <v>0.15</v>
      </c>
      <c r="G69" s="519" t="n">
        <f aca="false">Tax</f>
        <v>0.15</v>
      </c>
      <c r="H69" s="519" t="n">
        <f aca="false">Tax</f>
        <v>0.15</v>
      </c>
      <c r="I69" s="519" t="n">
        <f aca="false">Tax</f>
        <v>0.15</v>
      </c>
      <c r="J69" s="519" t="n">
        <f aca="false">Tax</f>
        <v>0.15</v>
      </c>
      <c r="K69" s="519" t="n">
        <f aca="false">Tax</f>
        <v>0.15</v>
      </c>
      <c r="L69" s="519" t="n">
        <f aca="false">Tax</f>
        <v>0.15</v>
      </c>
      <c r="M69" s="519" t="n">
        <f aca="false">Tax</f>
        <v>0.15</v>
      </c>
      <c r="N69" s="519" t="n">
        <f aca="false">Tax</f>
        <v>0.15</v>
      </c>
      <c r="O69" s="519" t="n">
        <f aca="false">Tax</f>
        <v>0.15</v>
      </c>
      <c r="P69" s="519" t="n">
        <f aca="false">Tax</f>
        <v>0.15</v>
      </c>
      <c r="Q69" s="519" t="n">
        <f aca="false">Tax</f>
        <v>0.15</v>
      </c>
      <c r="R69" s="519" t="n">
        <f aca="false">Tax</f>
        <v>0.15</v>
      </c>
      <c r="S69" s="519" t="n">
        <f aca="false">Tax</f>
        <v>0.15</v>
      </c>
      <c r="T69" s="519" t="n">
        <f aca="false">Tax</f>
        <v>0.15</v>
      </c>
      <c r="U69" s="519" t="n">
        <f aca="false">Tax</f>
        <v>0.15</v>
      </c>
      <c r="V69" s="519" t="n">
        <f aca="false">Tax</f>
        <v>0.15</v>
      </c>
      <c r="W69" s="519" t="n">
        <f aca="false">Tax</f>
        <v>0.15</v>
      </c>
      <c r="X69" s="519" t="n">
        <f aca="false">Tax</f>
        <v>0.15</v>
      </c>
      <c r="Y69" s="418"/>
      <c r="Z69" s="39"/>
      <c r="AA69" s="136" t="n">
        <f aca="false">AA68+1</f>
        <v>63</v>
      </c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39"/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</row>
    <row r="70" customFormat="false" ht="12.75" hidden="false" customHeight="false" outlineLevel="0" collapsed="false">
      <c r="A70" s="37" t="s">
        <v>769</v>
      </c>
      <c r="B70" s="39"/>
      <c r="C70" s="39"/>
      <c r="D70" s="61" t="n">
        <f aca="false">D69*D68</f>
        <v>0</v>
      </c>
      <c r="E70" s="61" t="n">
        <f aca="false">E69*E68</f>
        <v>0</v>
      </c>
      <c r="F70" s="61" t="n">
        <f aca="false">F69*F68</f>
        <v>0</v>
      </c>
      <c r="G70" s="61" t="n">
        <f aca="false">G69*G68</f>
        <v>0</v>
      </c>
      <c r="H70" s="61" t="n">
        <f aca="false">H69*H68</f>
        <v>0</v>
      </c>
      <c r="I70" s="61" t="n">
        <f aca="false">I69*I68</f>
        <v>0</v>
      </c>
      <c r="J70" s="61" t="n">
        <f aca="false">J69*J68</f>
        <v>0</v>
      </c>
      <c r="K70" s="61" t="n">
        <f aca="false">K69*K68</f>
        <v>0</v>
      </c>
      <c r="L70" s="61" t="n">
        <f aca="false">L69*L68</f>
        <v>0</v>
      </c>
      <c r="M70" s="61" t="n">
        <f aca="false">M69*M68</f>
        <v>0</v>
      </c>
      <c r="N70" s="61" t="n">
        <f aca="false">N69*N68</f>
        <v>0</v>
      </c>
      <c r="O70" s="61" t="n">
        <f aca="false">O69*O68</f>
        <v>0</v>
      </c>
      <c r="P70" s="61" t="n">
        <f aca="false">P69*P68</f>
        <v>0</v>
      </c>
      <c r="Q70" s="61" t="n">
        <f aca="false">Q69*Q68</f>
        <v>0</v>
      </c>
      <c r="R70" s="61" t="n">
        <f aca="false">R69*R68</f>
        <v>0</v>
      </c>
      <c r="S70" s="61" t="n">
        <f aca="false">S69*S68</f>
        <v>0</v>
      </c>
      <c r="T70" s="61" t="n">
        <f aca="false">T69*T68</f>
        <v>0</v>
      </c>
      <c r="U70" s="61" t="n">
        <f aca="false">U69*U68</f>
        <v>0</v>
      </c>
      <c r="V70" s="61" t="n">
        <f aca="false">V69*V68</f>
        <v>0</v>
      </c>
      <c r="W70" s="61" t="n">
        <f aca="false">W69*W68</f>
        <v>0</v>
      </c>
      <c r="X70" s="61" t="n">
        <f aca="false">X69*X68</f>
        <v>0</v>
      </c>
      <c r="Y70" s="304" t="n">
        <f aca="false">SUM(D70:X70)</f>
        <v>0</v>
      </c>
      <c r="Z70" s="39"/>
      <c r="AA70" s="136" t="n">
        <f aca="false">AA69+1</f>
        <v>64</v>
      </c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  <c r="FQ70" s="39"/>
      <c r="FR70" s="39"/>
      <c r="FS70" s="39"/>
      <c r="FT70" s="39"/>
      <c r="FU70" s="39"/>
      <c r="FV70" s="39"/>
      <c r="FW70" s="39"/>
      <c r="FX70" s="39"/>
      <c r="FY70" s="39"/>
      <c r="FZ70" s="39"/>
      <c r="GA70" s="39"/>
      <c r="GB70" s="39"/>
      <c r="GC70" s="39"/>
      <c r="GD70" s="39"/>
      <c r="GE70" s="39"/>
      <c r="GF70" s="39"/>
      <c r="GG70" s="39"/>
      <c r="GH70" s="39"/>
      <c r="GI70" s="39"/>
      <c r="GJ70" s="39"/>
      <c r="GK70" s="39"/>
      <c r="GL70" s="39"/>
      <c r="GM70" s="39"/>
      <c r="GN70" s="39"/>
      <c r="GO70" s="39"/>
      <c r="GP70" s="39"/>
      <c r="GQ70" s="39"/>
      <c r="GR70" s="39"/>
      <c r="GS70" s="39"/>
      <c r="GT70" s="39"/>
      <c r="GU70" s="39"/>
      <c r="GV70" s="39"/>
      <c r="GW70" s="39"/>
      <c r="GX70" s="39"/>
      <c r="GY70" s="39"/>
      <c r="GZ70" s="39"/>
      <c r="HA70" s="39"/>
      <c r="HB70" s="39"/>
      <c r="HC70" s="39"/>
      <c r="HD70" s="39"/>
      <c r="HE70" s="39"/>
      <c r="HF70" s="39"/>
      <c r="HG70" s="39"/>
      <c r="HH70" s="39"/>
      <c r="HI70" s="39"/>
      <c r="HJ70" s="39"/>
      <c r="HK70" s="39"/>
      <c r="HL70" s="39"/>
      <c r="HM70" s="39"/>
      <c r="HN70" s="39"/>
      <c r="HO70" s="39"/>
      <c r="HP70" s="39"/>
      <c r="HQ70" s="39"/>
      <c r="HR70" s="39"/>
      <c r="HS70" s="39"/>
      <c r="HT70" s="39"/>
      <c r="HU70" s="39"/>
      <c r="HV70" s="39"/>
      <c r="HW70" s="39"/>
      <c r="HX70" s="39"/>
      <c r="HY70" s="39"/>
      <c r="HZ70" s="39"/>
      <c r="IA70" s="39"/>
      <c r="IB70" s="39"/>
      <c r="IC70" s="39"/>
      <c r="ID70" s="39"/>
      <c r="IE70" s="39"/>
      <c r="IF70" s="39"/>
      <c r="IG70" s="39"/>
      <c r="IH70" s="39"/>
      <c r="II70" s="39"/>
      <c r="IJ70" s="39"/>
      <c r="IK70" s="39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  <c r="IW70" s="39"/>
    </row>
    <row r="71" customFormat="false" ht="12.75" hidden="false" customHeight="false" outlineLevel="0" collapsed="false">
      <c r="A71" s="37"/>
      <c r="B71" s="39"/>
      <c r="C71" s="39"/>
      <c r="D71" s="315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418"/>
      <c r="Z71" s="39"/>
      <c r="AA71" s="136" t="n">
        <f aca="false">AA70+1</f>
        <v>65</v>
      </c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</row>
    <row r="72" customFormat="false" ht="12.75" hidden="false" customHeight="false" outlineLevel="0" collapsed="false">
      <c r="A72" s="303" t="s">
        <v>59</v>
      </c>
      <c r="B72" s="39"/>
      <c r="C72" s="39"/>
      <c r="D72" s="368"/>
      <c r="E72" s="368"/>
      <c r="F72" s="368"/>
      <c r="G72" s="368"/>
      <c r="H72" s="368"/>
      <c r="I72" s="368"/>
      <c r="J72" s="368"/>
      <c r="K72" s="368"/>
      <c r="L72" s="368"/>
      <c r="M72" s="368"/>
      <c r="N72" s="368"/>
      <c r="O72" s="368"/>
      <c r="P72" s="368"/>
      <c r="Q72" s="368"/>
      <c r="R72" s="368"/>
      <c r="S72" s="368"/>
      <c r="T72" s="368"/>
      <c r="U72" s="368"/>
      <c r="V72" s="368"/>
      <c r="W72" s="368"/>
      <c r="X72" s="368"/>
      <c r="Y72" s="418"/>
      <c r="Z72" s="39"/>
      <c r="AA72" s="136" t="n">
        <f aca="false">AA71+1</f>
        <v>66</v>
      </c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</row>
    <row r="73" customFormat="false" ht="12.75" hidden="false" customHeight="false" outlineLevel="0" collapsed="false">
      <c r="A73" s="37" t="s">
        <v>828</v>
      </c>
      <c r="B73" s="39"/>
      <c r="C73" s="39"/>
      <c r="D73" s="61" t="n">
        <f aca="false">D$65</f>
        <v>0</v>
      </c>
      <c r="E73" s="61" t="n">
        <f aca="false">E$65</f>
        <v>0</v>
      </c>
      <c r="F73" s="61" t="n">
        <f aca="false">F$65</f>
        <v>0</v>
      </c>
      <c r="G73" s="61" t="n">
        <f aca="false">G$65</f>
        <v>0</v>
      </c>
      <c r="H73" s="61" t="n">
        <f aca="false">H$65</f>
        <v>0</v>
      </c>
      <c r="I73" s="61" t="n">
        <f aca="false">I$65</f>
        <v>0</v>
      </c>
      <c r="J73" s="61" t="n">
        <f aca="false">J$65</f>
        <v>0</v>
      </c>
      <c r="K73" s="61" t="n">
        <f aca="false">K$65</f>
        <v>0</v>
      </c>
      <c r="L73" s="61" t="n">
        <f aca="false">L$65</f>
        <v>0</v>
      </c>
      <c r="M73" s="61" t="n">
        <f aca="false">M$65</f>
        <v>0</v>
      </c>
      <c r="N73" s="61" t="n">
        <f aca="false">N$65</f>
        <v>0</v>
      </c>
      <c r="O73" s="61" t="n">
        <f aca="false">O$65</f>
        <v>0</v>
      </c>
      <c r="P73" s="61" t="n">
        <f aca="false">P$65</f>
        <v>0</v>
      </c>
      <c r="Q73" s="61" t="n">
        <f aca="false">Q$65</f>
        <v>0</v>
      </c>
      <c r="R73" s="61" t="n">
        <f aca="false">R$65</f>
        <v>0</v>
      </c>
      <c r="S73" s="61" t="n">
        <f aca="false">S$65</f>
        <v>0</v>
      </c>
      <c r="T73" s="61" t="n">
        <f aca="false">T$65</f>
        <v>0</v>
      </c>
      <c r="U73" s="61" t="n">
        <f aca="false">U$65</f>
        <v>0</v>
      </c>
      <c r="V73" s="61" t="n">
        <f aca="false">V$65</f>
        <v>0</v>
      </c>
      <c r="W73" s="61" t="n">
        <f aca="false">W$65</f>
        <v>0</v>
      </c>
      <c r="X73" s="61" t="n">
        <f aca="false">X$65</f>
        <v>0</v>
      </c>
      <c r="Y73" s="304" t="n">
        <f aca="false">SUM(D73:X73)</f>
        <v>0</v>
      </c>
      <c r="Z73" s="39"/>
      <c r="AA73" s="136" t="n">
        <f aca="false">AA72+1</f>
        <v>67</v>
      </c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  <c r="FO73" s="39"/>
      <c r="FP73" s="39"/>
      <c r="FQ73" s="39"/>
      <c r="FR73" s="39"/>
      <c r="FS73" s="39"/>
      <c r="FT73" s="39"/>
      <c r="FU73" s="39"/>
      <c r="FV73" s="39"/>
      <c r="FW73" s="39"/>
      <c r="FX73" s="39"/>
      <c r="FY73" s="39"/>
      <c r="FZ73" s="39"/>
      <c r="GA73" s="39"/>
      <c r="GB73" s="39"/>
      <c r="GC73" s="39"/>
      <c r="GD73" s="39"/>
      <c r="GE73" s="39"/>
      <c r="GF73" s="39"/>
      <c r="GG73" s="39"/>
      <c r="GH73" s="39"/>
      <c r="GI73" s="39"/>
      <c r="GJ73" s="39"/>
      <c r="GK73" s="39"/>
      <c r="GL73" s="39"/>
      <c r="GM73" s="39"/>
      <c r="GN73" s="39"/>
      <c r="GO73" s="39"/>
      <c r="GP73" s="39"/>
      <c r="GQ73" s="39"/>
      <c r="GR73" s="39"/>
      <c r="GS73" s="39"/>
      <c r="GT73" s="39"/>
      <c r="GU73" s="39"/>
      <c r="GV73" s="39"/>
      <c r="GW73" s="39"/>
      <c r="GX73" s="39"/>
      <c r="GY73" s="39"/>
      <c r="GZ73" s="39"/>
      <c r="HA73" s="39"/>
      <c r="HB73" s="39"/>
      <c r="HC73" s="39"/>
      <c r="HD73" s="39"/>
      <c r="HE73" s="39"/>
      <c r="HF73" s="39"/>
      <c r="HG73" s="39"/>
      <c r="HH73" s="39"/>
      <c r="HI73" s="39"/>
      <c r="HJ73" s="39"/>
      <c r="HK73" s="39"/>
      <c r="HL73" s="39"/>
      <c r="HM73" s="39"/>
      <c r="HN73" s="39"/>
      <c r="HO73" s="39"/>
      <c r="HP73" s="39"/>
      <c r="HQ73" s="39"/>
      <c r="HR73" s="39"/>
      <c r="HS73" s="39"/>
      <c r="HT73" s="39"/>
      <c r="HU73" s="39"/>
      <c r="HV73" s="39"/>
      <c r="HW73" s="39"/>
      <c r="HX73" s="39"/>
      <c r="HY73" s="39"/>
      <c r="HZ73" s="39"/>
      <c r="IA73" s="39"/>
      <c r="IB73" s="39"/>
      <c r="IC73" s="39"/>
      <c r="ID73" s="39"/>
      <c r="IE73" s="39"/>
      <c r="IF73" s="39"/>
      <c r="IG73" s="39"/>
      <c r="IH73" s="39"/>
      <c r="II73" s="39"/>
      <c r="IJ73" s="39"/>
      <c r="IK73" s="39"/>
      <c r="IL73" s="39"/>
      <c r="IM73" s="39"/>
      <c r="IN73" s="39"/>
      <c r="IO73" s="39"/>
      <c r="IP73" s="39"/>
      <c r="IQ73" s="39"/>
      <c r="IR73" s="39"/>
      <c r="IS73" s="39"/>
      <c r="IT73" s="39"/>
      <c r="IU73" s="39"/>
      <c r="IV73" s="39"/>
      <c r="IW73" s="39"/>
    </row>
    <row r="74" customFormat="false" ht="12.75" hidden="false" customHeight="false" outlineLevel="0" collapsed="false">
      <c r="A74" s="37" t="s">
        <v>772</v>
      </c>
      <c r="B74" s="39"/>
      <c r="C74" s="39"/>
      <c r="D74" s="519" t="n">
        <f aca="false">Add_Tax</f>
        <v>0.1</v>
      </c>
      <c r="E74" s="519" t="n">
        <f aca="false">Add_Tax</f>
        <v>0.1</v>
      </c>
      <c r="F74" s="519" t="n">
        <f aca="false">Add_Tax</f>
        <v>0.1</v>
      </c>
      <c r="G74" s="519" t="n">
        <f aca="false">Add_Tax</f>
        <v>0.1</v>
      </c>
      <c r="H74" s="519" t="n">
        <f aca="false">Add_Tax</f>
        <v>0.1</v>
      </c>
      <c r="I74" s="519" t="n">
        <f aca="false">Add_Tax</f>
        <v>0.1</v>
      </c>
      <c r="J74" s="519" t="n">
        <f aca="false">Add_Tax</f>
        <v>0.1</v>
      </c>
      <c r="K74" s="519" t="n">
        <f aca="false">Add_Tax</f>
        <v>0.1</v>
      </c>
      <c r="L74" s="519" t="n">
        <f aca="false">Add_Tax</f>
        <v>0.1</v>
      </c>
      <c r="M74" s="519" t="n">
        <f aca="false">Add_Tax</f>
        <v>0.1</v>
      </c>
      <c r="N74" s="519" t="n">
        <f aca="false">Add_Tax</f>
        <v>0.1</v>
      </c>
      <c r="O74" s="519" t="n">
        <f aca="false">Add_Tax</f>
        <v>0.1</v>
      </c>
      <c r="P74" s="519" t="n">
        <f aca="false">Add_Tax</f>
        <v>0.1</v>
      </c>
      <c r="Q74" s="519" t="n">
        <f aca="false">Add_Tax</f>
        <v>0.1</v>
      </c>
      <c r="R74" s="519" t="n">
        <f aca="false">Add_Tax</f>
        <v>0.1</v>
      </c>
      <c r="S74" s="519" t="n">
        <f aca="false">Add_Tax</f>
        <v>0.1</v>
      </c>
      <c r="T74" s="519" t="n">
        <f aca="false">Add_Tax</f>
        <v>0.1</v>
      </c>
      <c r="U74" s="519" t="n">
        <f aca="false">Add_Tax</f>
        <v>0.1</v>
      </c>
      <c r="V74" s="519" t="n">
        <f aca="false">Add_Tax</f>
        <v>0.1</v>
      </c>
      <c r="W74" s="519" t="n">
        <f aca="false">Add_Tax</f>
        <v>0.1</v>
      </c>
      <c r="X74" s="519" t="n">
        <f aca="false">Add_Tax</f>
        <v>0.1</v>
      </c>
      <c r="Y74" s="418"/>
      <c r="Z74" s="39"/>
      <c r="AA74" s="136" t="n">
        <f aca="false">AA73+1</f>
        <v>68</v>
      </c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</row>
    <row r="75" customFormat="false" ht="12.75" hidden="false" customHeight="false" outlineLevel="0" collapsed="false">
      <c r="A75" s="37" t="s">
        <v>773</v>
      </c>
      <c r="B75" s="39"/>
      <c r="C75" s="39"/>
      <c r="D75" s="61" t="n">
        <f aca="false">D74*D73</f>
        <v>0</v>
      </c>
      <c r="E75" s="61" t="n">
        <f aca="false">E74*E73</f>
        <v>0</v>
      </c>
      <c r="F75" s="61" t="n">
        <f aca="false">F74*F73</f>
        <v>0</v>
      </c>
      <c r="G75" s="61" t="n">
        <f aca="false">G74*G73</f>
        <v>0</v>
      </c>
      <c r="H75" s="61" t="n">
        <f aca="false">H74*H73</f>
        <v>0</v>
      </c>
      <c r="I75" s="61" t="n">
        <f aca="false">I74*I73</f>
        <v>0</v>
      </c>
      <c r="J75" s="61" t="n">
        <f aca="false">J74*J73</f>
        <v>0</v>
      </c>
      <c r="K75" s="61" t="n">
        <f aca="false">K74*K73</f>
        <v>0</v>
      </c>
      <c r="L75" s="61" t="n">
        <f aca="false">L74*L73</f>
        <v>0</v>
      </c>
      <c r="M75" s="61" t="n">
        <f aca="false">M74*M73</f>
        <v>0</v>
      </c>
      <c r="N75" s="61" t="n">
        <f aca="false">N74*N73</f>
        <v>0</v>
      </c>
      <c r="O75" s="61" t="n">
        <f aca="false">O74*O73</f>
        <v>0</v>
      </c>
      <c r="P75" s="61" t="n">
        <f aca="false">P74*P73</f>
        <v>0</v>
      </c>
      <c r="Q75" s="61" t="n">
        <f aca="false">Q74*Q73</f>
        <v>0</v>
      </c>
      <c r="R75" s="61" t="n">
        <f aca="false">R74*R73</f>
        <v>0</v>
      </c>
      <c r="S75" s="61" t="n">
        <f aca="false">S74*S73</f>
        <v>0</v>
      </c>
      <c r="T75" s="61" t="n">
        <f aca="false">T74*T73</f>
        <v>0</v>
      </c>
      <c r="U75" s="61" t="n">
        <f aca="false">U74*U73</f>
        <v>0</v>
      </c>
      <c r="V75" s="61" t="n">
        <f aca="false">V74*V73</f>
        <v>0</v>
      </c>
      <c r="W75" s="61" t="n">
        <f aca="false">W74*W73</f>
        <v>0</v>
      </c>
      <c r="X75" s="61" t="n">
        <f aca="false">X74*X73</f>
        <v>0</v>
      </c>
      <c r="Y75" s="304" t="n">
        <f aca="false">SUM(D75:X75)</f>
        <v>0</v>
      </c>
      <c r="Z75" s="39"/>
      <c r="AA75" s="136" t="n">
        <f aca="false">AA74+1</f>
        <v>69</v>
      </c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  <c r="FQ75" s="39"/>
      <c r="FR75" s="39"/>
      <c r="FS75" s="39"/>
      <c r="FT75" s="39"/>
      <c r="FU75" s="39"/>
      <c r="FV75" s="39"/>
      <c r="FW75" s="39"/>
      <c r="FX75" s="39"/>
      <c r="FY75" s="39"/>
      <c r="FZ75" s="39"/>
      <c r="GA75" s="39"/>
      <c r="GB75" s="39"/>
      <c r="GC75" s="39"/>
      <c r="GD75" s="39"/>
      <c r="GE75" s="39"/>
      <c r="GF75" s="39"/>
      <c r="GG75" s="39"/>
      <c r="GH75" s="39"/>
      <c r="GI75" s="39"/>
      <c r="GJ75" s="39"/>
      <c r="GK75" s="39"/>
      <c r="GL75" s="39"/>
      <c r="GM75" s="39"/>
      <c r="GN75" s="39"/>
      <c r="GO75" s="39"/>
      <c r="GP75" s="39"/>
      <c r="GQ75" s="39"/>
      <c r="GR75" s="39"/>
      <c r="GS75" s="39"/>
      <c r="GT75" s="39"/>
      <c r="GU75" s="39"/>
      <c r="GV75" s="39"/>
      <c r="GW75" s="39"/>
      <c r="GX75" s="39"/>
      <c r="GY75" s="39"/>
      <c r="GZ75" s="39"/>
      <c r="HA75" s="39"/>
      <c r="HB75" s="39"/>
      <c r="HC75" s="39"/>
      <c r="HD75" s="39"/>
      <c r="HE75" s="39"/>
      <c r="HF75" s="39"/>
      <c r="HG75" s="39"/>
      <c r="HH75" s="39"/>
      <c r="HI75" s="39"/>
      <c r="HJ75" s="39"/>
      <c r="HK75" s="39"/>
      <c r="HL75" s="39"/>
      <c r="HM75" s="39"/>
      <c r="HN75" s="39"/>
      <c r="HO75" s="39"/>
      <c r="HP75" s="39"/>
      <c r="HQ75" s="39"/>
      <c r="HR75" s="39"/>
      <c r="HS75" s="39"/>
      <c r="HT75" s="39"/>
      <c r="HU75" s="39"/>
      <c r="HV75" s="39"/>
      <c r="HW75" s="39"/>
      <c r="HX75" s="39"/>
      <c r="HY75" s="39"/>
      <c r="HZ75" s="39"/>
      <c r="IA75" s="39"/>
      <c r="IB75" s="39"/>
      <c r="IC75" s="39"/>
      <c r="ID75" s="39"/>
      <c r="IE75" s="39"/>
      <c r="IF75" s="39"/>
      <c r="IG75" s="39"/>
      <c r="IH75" s="39"/>
      <c r="II75" s="39"/>
      <c r="IJ75" s="39"/>
      <c r="IK75" s="39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  <c r="IW75" s="39"/>
    </row>
    <row r="76" customFormat="false" ht="12.75" hidden="false" customHeight="false" outlineLevel="0" collapsed="false">
      <c r="A76" s="37"/>
      <c r="B76" s="39"/>
      <c r="C76" s="39"/>
      <c r="D76" s="315"/>
      <c r="E76" s="315"/>
      <c r="F76" s="315"/>
      <c r="G76" s="315"/>
      <c r="H76" s="315"/>
      <c r="I76" s="315"/>
      <c r="J76" s="315"/>
      <c r="K76" s="315"/>
      <c r="L76" s="315"/>
      <c r="M76" s="315"/>
      <c r="N76" s="315"/>
      <c r="O76" s="315"/>
      <c r="P76" s="315"/>
      <c r="Q76" s="315"/>
      <c r="R76" s="315"/>
      <c r="S76" s="315"/>
      <c r="T76" s="315"/>
      <c r="U76" s="315"/>
      <c r="V76" s="315"/>
      <c r="W76" s="315"/>
      <c r="X76" s="315"/>
      <c r="Y76" s="418"/>
      <c r="Z76" s="39"/>
      <c r="AA76" s="136" t="n">
        <f aca="false">AA75+1</f>
        <v>70</v>
      </c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  <c r="FO76" s="39"/>
      <c r="FP76" s="39"/>
      <c r="FQ76" s="39"/>
      <c r="FR76" s="39"/>
      <c r="FS76" s="39"/>
      <c r="FT76" s="39"/>
      <c r="FU76" s="39"/>
      <c r="FV76" s="39"/>
      <c r="FW76" s="39"/>
      <c r="FX76" s="39"/>
      <c r="FY76" s="39"/>
      <c r="FZ76" s="39"/>
      <c r="GA76" s="39"/>
      <c r="GB76" s="39"/>
      <c r="GC76" s="39"/>
      <c r="GD76" s="39"/>
      <c r="GE76" s="39"/>
      <c r="GF76" s="39"/>
      <c r="GG76" s="39"/>
      <c r="GH76" s="39"/>
      <c r="GI76" s="39"/>
      <c r="GJ76" s="39"/>
      <c r="GK76" s="39"/>
      <c r="GL76" s="39"/>
      <c r="GM76" s="39"/>
      <c r="GN76" s="39"/>
      <c r="GO76" s="39"/>
      <c r="GP76" s="39"/>
      <c r="GQ76" s="39"/>
      <c r="GR76" s="39"/>
      <c r="GS76" s="39"/>
      <c r="GT76" s="39"/>
      <c r="GU76" s="39"/>
      <c r="GV76" s="39"/>
      <c r="GW76" s="39"/>
      <c r="GX76" s="39"/>
      <c r="GY76" s="39"/>
      <c r="GZ76" s="39"/>
      <c r="HA76" s="39"/>
      <c r="HB76" s="39"/>
      <c r="HC76" s="39"/>
      <c r="HD76" s="39"/>
      <c r="HE76" s="39"/>
      <c r="HF76" s="39"/>
      <c r="HG76" s="39"/>
      <c r="HH76" s="39"/>
      <c r="HI76" s="39"/>
      <c r="HJ76" s="39"/>
      <c r="HK76" s="39"/>
      <c r="HL76" s="39"/>
      <c r="HM76" s="39"/>
      <c r="HN76" s="39"/>
      <c r="HO76" s="39"/>
      <c r="HP76" s="39"/>
      <c r="HQ76" s="39"/>
      <c r="HR76" s="39"/>
      <c r="HS76" s="39"/>
      <c r="HT76" s="39"/>
      <c r="HU76" s="39"/>
      <c r="HV76" s="39"/>
      <c r="HW76" s="39"/>
      <c r="HX76" s="39"/>
      <c r="HY76" s="39"/>
      <c r="HZ76" s="39"/>
      <c r="IA76" s="39"/>
      <c r="IB76" s="39"/>
      <c r="IC76" s="39"/>
      <c r="ID76" s="39"/>
      <c r="IE76" s="39"/>
      <c r="IF76" s="39"/>
      <c r="IG76" s="39"/>
      <c r="IH76" s="39"/>
      <c r="II76" s="39"/>
      <c r="IJ76" s="39"/>
      <c r="IK76" s="39"/>
      <c r="IL76" s="39"/>
      <c r="IM76" s="39"/>
      <c r="IN76" s="39"/>
      <c r="IO76" s="39"/>
      <c r="IP76" s="39"/>
      <c r="IQ76" s="39"/>
      <c r="IR76" s="39"/>
      <c r="IS76" s="39"/>
      <c r="IT76" s="39"/>
      <c r="IU76" s="39"/>
      <c r="IV76" s="39"/>
      <c r="IW76" s="39"/>
    </row>
    <row r="77" customFormat="false" ht="12.75" hidden="false" customHeight="false" outlineLevel="0" collapsed="false">
      <c r="A77" s="303" t="s">
        <v>65</v>
      </c>
      <c r="B77" s="39"/>
      <c r="C77" s="39"/>
      <c r="D77" s="368"/>
      <c r="E77" s="368"/>
      <c r="F77" s="368"/>
      <c r="G77" s="368"/>
      <c r="H77" s="368"/>
      <c r="I77" s="368"/>
      <c r="J77" s="368"/>
      <c r="K77" s="368"/>
      <c r="L77" s="368"/>
      <c r="M77" s="368"/>
      <c r="N77" s="368"/>
      <c r="O77" s="368"/>
      <c r="P77" s="368"/>
      <c r="Q77" s="368"/>
      <c r="R77" s="368"/>
      <c r="S77" s="368"/>
      <c r="T77" s="368"/>
      <c r="U77" s="368"/>
      <c r="V77" s="368"/>
      <c r="W77" s="368"/>
      <c r="X77" s="368"/>
      <c r="Y77" s="418"/>
      <c r="Z77" s="39"/>
      <c r="AA77" s="136" t="n">
        <f aca="false">AA76+1</f>
        <v>71</v>
      </c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</row>
    <row r="78" customFormat="false" ht="12.75" hidden="false" customHeight="false" outlineLevel="0" collapsed="false">
      <c r="A78" s="37" t="s">
        <v>828</v>
      </c>
      <c r="B78" s="39"/>
      <c r="C78" s="39"/>
      <c r="D78" s="61" t="n">
        <f aca="false">D$65</f>
        <v>0</v>
      </c>
      <c r="E78" s="61" t="n">
        <f aca="false">E$65</f>
        <v>0</v>
      </c>
      <c r="F78" s="61" t="n">
        <f aca="false">F$65</f>
        <v>0</v>
      </c>
      <c r="G78" s="61" t="n">
        <f aca="false">G$65</f>
        <v>0</v>
      </c>
      <c r="H78" s="61" t="n">
        <f aca="false">H$65</f>
        <v>0</v>
      </c>
      <c r="I78" s="61" t="n">
        <f aca="false">I$65</f>
        <v>0</v>
      </c>
      <c r="J78" s="61" t="n">
        <f aca="false">J$65</f>
        <v>0</v>
      </c>
      <c r="K78" s="61" t="n">
        <f aca="false">K$65</f>
        <v>0</v>
      </c>
      <c r="L78" s="61" t="n">
        <f aca="false">L$65</f>
        <v>0</v>
      </c>
      <c r="M78" s="61" t="n">
        <f aca="false">M$65</f>
        <v>0</v>
      </c>
      <c r="N78" s="61" t="n">
        <f aca="false">N$65</f>
        <v>0</v>
      </c>
      <c r="O78" s="61" t="n">
        <f aca="false">O$65</f>
        <v>0</v>
      </c>
      <c r="P78" s="61" t="n">
        <f aca="false">P$65</f>
        <v>0</v>
      </c>
      <c r="Q78" s="61" t="n">
        <f aca="false">Q$65</f>
        <v>0</v>
      </c>
      <c r="R78" s="61" t="n">
        <f aca="false">R$65</f>
        <v>0</v>
      </c>
      <c r="S78" s="61" t="n">
        <f aca="false">S$65</f>
        <v>0</v>
      </c>
      <c r="T78" s="61" t="n">
        <f aca="false">T$65</f>
        <v>0</v>
      </c>
      <c r="U78" s="61" t="n">
        <f aca="false">U$65</f>
        <v>0</v>
      </c>
      <c r="V78" s="61" t="n">
        <f aca="false">V$65</f>
        <v>0</v>
      </c>
      <c r="W78" s="61" t="n">
        <f aca="false">W$65</f>
        <v>0</v>
      </c>
      <c r="X78" s="61" t="n">
        <f aca="false">X$65</f>
        <v>0</v>
      </c>
      <c r="Y78" s="304" t="n">
        <f aca="false">SUM(D78:X78)</f>
        <v>0</v>
      </c>
      <c r="Z78" s="39"/>
      <c r="AA78" s="136" t="n">
        <f aca="false">AA77+1</f>
        <v>72</v>
      </c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</row>
    <row r="79" customFormat="false" ht="12.75" hidden="false" customHeight="false" outlineLevel="0" collapsed="false">
      <c r="A79" s="37" t="s">
        <v>816</v>
      </c>
      <c r="B79" s="39"/>
      <c r="C79" s="39"/>
      <c r="D79" s="519" t="n">
        <f aca="false">Soc_Tax</f>
        <v>0.08</v>
      </c>
      <c r="E79" s="519" t="n">
        <f aca="false">Soc_Tax</f>
        <v>0.08</v>
      </c>
      <c r="F79" s="519" t="n">
        <f aca="false">Soc_Tax</f>
        <v>0.08</v>
      </c>
      <c r="G79" s="519" t="n">
        <f aca="false">Soc_Tax</f>
        <v>0.08</v>
      </c>
      <c r="H79" s="519" t="n">
        <f aca="false">Soc_Tax</f>
        <v>0.08</v>
      </c>
      <c r="I79" s="519" t="n">
        <f aca="false">Soc_Tax</f>
        <v>0.08</v>
      </c>
      <c r="J79" s="519" t="n">
        <f aca="false">Soc_Tax</f>
        <v>0.08</v>
      </c>
      <c r="K79" s="519" t="n">
        <f aca="false">Soc_Tax</f>
        <v>0.08</v>
      </c>
      <c r="L79" s="519" t="n">
        <f aca="false">Soc_Tax</f>
        <v>0.08</v>
      </c>
      <c r="M79" s="519" t="n">
        <f aca="false">Soc_Tax</f>
        <v>0.08</v>
      </c>
      <c r="N79" s="519" t="n">
        <f aca="false">Soc_Tax</f>
        <v>0.08</v>
      </c>
      <c r="O79" s="519" t="n">
        <f aca="false">Soc_Tax</f>
        <v>0.08</v>
      </c>
      <c r="P79" s="519" t="n">
        <f aca="false">Soc_Tax</f>
        <v>0.08</v>
      </c>
      <c r="Q79" s="519" t="n">
        <f aca="false">Soc_Tax</f>
        <v>0.08</v>
      </c>
      <c r="R79" s="519" t="n">
        <f aca="false">Soc_Tax</f>
        <v>0.08</v>
      </c>
      <c r="S79" s="519" t="n">
        <f aca="false">Soc_Tax</f>
        <v>0.08</v>
      </c>
      <c r="T79" s="519" t="n">
        <f aca="false">Soc_Tax</f>
        <v>0.08</v>
      </c>
      <c r="U79" s="519" t="n">
        <f aca="false">Soc_Tax</f>
        <v>0.08</v>
      </c>
      <c r="V79" s="519" t="n">
        <f aca="false">Soc_Tax</f>
        <v>0.08</v>
      </c>
      <c r="W79" s="519" t="n">
        <f aca="false">Soc_Tax</f>
        <v>0.08</v>
      </c>
      <c r="X79" s="519" t="n">
        <f aca="false">Soc_Tax</f>
        <v>0.08</v>
      </c>
      <c r="Y79" s="418"/>
      <c r="Z79" s="39"/>
      <c r="AA79" s="136" t="n">
        <f aca="false">AA78+1</f>
        <v>73</v>
      </c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39"/>
      <c r="FT79" s="39"/>
      <c r="FU79" s="39"/>
      <c r="FV79" s="39"/>
      <c r="FW79" s="39"/>
      <c r="FX79" s="39"/>
      <c r="FY79" s="39"/>
      <c r="FZ79" s="39"/>
      <c r="GA79" s="39"/>
      <c r="GB79" s="39"/>
      <c r="GC79" s="39"/>
      <c r="GD79" s="39"/>
      <c r="GE79" s="39"/>
      <c r="GF79" s="39"/>
      <c r="GG79" s="39"/>
      <c r="GH79" s="39"/>
      <c r="GI79" s="39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  <c r="IA79" s="39"/>
      <c r="IB79" s="39"/>
      <c r="IC79" s="39"/>
      <c r="ID79" s="39"/>
      <c r="IE79" s="39"/>
      <c r="IF79" s="39"/>
      <c r="IG79" s="39"/>
      <c r="IH79" s="39"/>
      <c r="II79" s="39"/>
      <c r="IJ79" s="39"/>
      <c r="IK79" s="39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  <c r="IW79" s="39"/>
    </row>
    <row r="80" customFormat="false" ht="12.75" hidden="false" customHeight="false" outlineLevel="0" collapsed="false">
      <c r="A80" s="37" t="s">
        <v>817</v>
      </c>
      <c r="B80" s="39"/>
      <c r="C80" s="39"/>
      <c r="D80" s="61" t="n">
        <f aca="false">D79*D78</f>
        <v>0</v>
      </c>
      <c r="E80" s="61" t="n">
        <f aca="false">E79*E78</f>
        <v>0</v>
      </c>
      <c r="F80" s="61" t="n">
        <f aca="false">F79*F78</f>
        <v>0</v>
      </c>
      <c r="G80" s="61" t="n">
        <f aca="false">G79*G78</f>
        <v>0</v>
      </c>
      <c r="H80" s="61" t="n">
        <f aca="false">H79*H78</f>
        <v>0</v>
      </c>
      <c r="I80" s="61" t="n">
        <f aca="false">I79*I78</f>
        <v>0</v>
      </c>
      <c r="J80" s="61" t="n">
        <f aca="false">J79*J78</f>
        <v>0</v>
      </c>
      <c r="K80" s="61" t="n">
        <f aca="false">K79*K78</f>
        <v>0</v>
      </c>
      <c r="L80" s="61" t="n">
        <f aca="false">L79*L78</f>
        <v>0</v>
      </c>
      <c r="M80" s="61" t="n">
        <f aca="false">M79*M78</f>
        <v>0</v>
      </c>
      <c r="N80" s="61" t="n">
        <f aca="false">N79*N78</f>
        <v>0</v>
      </c>
      <c r="O80" s="61" t="n">
        <f aca="false">O79*O78</f>
        <v>0</v>
      </c>
      <c r="P80" s="61" t="n">
        <f aca="false">P79*P78</f>
        <v>0</v>
      </c>
      <c r="Q80" s="61" t="n">
        <f aca="false">Q79*Q78</f>
        <v>0</v>
      </c>
      <c r="R80" s="61" t="n">
        <f aca="false">R79*R78</f>
        <v>0</v>
      </c>
      <c r="S80" s="61" t="n">
        <f aca="false">S79*S78</f>
        <v>0</v>
      </c>
      <c r="T80" s="61" t="n">
        <f aca="false">T79*T78</f>
        <v>0</v>
      </c>
      <c r="U80" s="61" t="n">
        <f aca="false">U79*U78</f>
        <v>0</v>
      </c>
      <c r="V80" s="61" t="n">
        <f aca="false">V79*V78</f>
        <v>0</v>
      </c>
      <c r="W80" s="61" t="n">
        <f aca="false">W79*W78</f>
        <v>0</v>
      </c>
      <c r="X80" s="61" t="n">
        <f aca="false">X79*X78</f>
        <v>0</v>
      </c>
      <c r="Y80" s="304" t="n">
        <f aca="false">SUM(D80:X80)</f>
        <v>0</v>
      </c>
      <c r="Z80" s="39"/>
      <c r="AA80" s="136" t="n">
        <f aca="false">AA79+1</f>
        <v>74</v>
      </c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39"/>
      <c r="FT80" s="39"/>
      <c r="FU80" s="39"/>
      <c r="FV80" s="39"/>
      <c r="FW80" s="39"/>
      <c r="FX80" s="39"/>
      <c r="FY80" s="39"/>
      <c r="FZ80" s="39"/>
      <c r="GA80" s="39"/>
      <c r="GB80" s="39"/>
      <c r="GC80" s="39"/>
      <c r="GD80" s="39"/>
      <c r="GE80" s="39"/>
      <c r="GF80" s="39"/>
      <c r="GG80" s="39"/>
      <c r="GH80" s="39"/>
      <c r="GI80" s="39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  <c r="IA80" s="39"/>
      <c r="IB80" s="39"/>
      <c r="IC80" s="39"/>
      <c r="ID80" s="39"/>
      <c r="IE80" s="39"/>
      <c r="IF80" s="39"/>
      <c r="IG80" s="39"/>
      <c r="IH80" s="39"/>
      <c r="II80" s="39"/>
      <c r="IJ80" s="39"/>
      <c r="IK80" s="39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  <c r="IW80" s="39"/>
    </row>
    <row r="81" customFormat="false" ht="12.75" hidden="false" customHeight="false" outlineLevel="0" collapsed="false">
      <c r="A81" s="37"/>
      <c r="B81" s="39"/>
      <c r="C81" s="39"/>
      <c r="D81" s="315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418"/>
      <c r="Z81" s="39"/>
      <c r="AA81" s="136" t="n">
        <f aca="false">AA80+1</f>
        <v>75</v>
      </c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39"/>
      <c r="FT81" s="39"/>
      <c r="FU81" s="39"/>
      <c r="FV81" s="39"/>
      <c r="FW81" s="39"/>
      <c r="FX81" s="39"/>
      <c r="FY81" s="39"/>
      <c r="FZ81" s="39"/>
      <c r="GA81" s="39"/>
      <c r="GB81" s="39"/>
      <c r="GC81" s="39"/>
      <c r="GD81" s="39"/>
      <c r="GE81" s="39"/>
      <c r="GF81" s="39"/>
      <c r="GG81" s="39"/>
      <c r="GH81" s="39"/>
      <c r="GI81" s="39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  <c r="IA81" s="39"/>
      <c r="IB81" s="39"/>
      <c r="IC81" s="39"/>
      <c r="ID81" s="39"/>
      <c r="IE81" s="39"/>
      <c r="IF81" s="39"/>
      <c r="IG81" s="39"/>
      <c r="IH81" s="39"/>
      <c r="II81" s="39"/>
      <c r="IJ81" s="39"/>
      <c r="IK81" s="39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  <c r="IW81" s="39"/>
    </row>
    <row r="82" customFormat="false" ht="12.75" hidden="false" customHeight="false" outlineLevel="0" collapsed="false">
      <c r="A82" s="37" t="s">
        <v>829</v>
      </c>
      <c r="B82" s="39"/>
      <c r="C82" s="39"/>
      <c r="D82" s="61" t="n">
        <f aca="false">D60</f>
        <v>0</v>
      </c>
      <c r="E82" s="61" t="n">
        <f aca="false">E60</f>
        <v>0</v>
      </c>
      <c r="F82" s="61" t="n">
        <f aca="false">F60</f>
        <v>0</v>
      </c>
      <c r="G82" s="61" t="n">
        <f aca="false">G60</f>
        <v>0</v>
      </c>
      <c r="H82" s="61" t="n">
        <f aca="false">H60</f>
        <v>0</v>
      </c>
      <c r="I82" s="61" t="n">
        <f aca="false">I60</f>
        <v>0</v>
      </c>
      <c r="J82" s="61" t="n">
        <f aca="false">J60</f>
        <v>0</v>
      </c>
      <c r="K82" s="61" t="n">
        <f aca="false">K60</f>
        <v>0</v>
      </c>
      <c r="L82" s="61" t="n">
        <f aca="false">L60</f>
        <v>174.324282490501</v>
      </c>
      <c r="M82" s="61" t="n">
        <f aca="false">M60</f>
        <v>517.842586717923</v>
      </c>
      <c r="N82" s="61" t="n">
        <f aca="false">N60</f>
        <v>733.282099722669</v>
      </c>
      <c r="O82" s="61" t="n">
        <f aca="false">O60</f>
        <v>876.73961748338</v>
      </c>
      <c r="P82" s="61" t="n">
        <f aca="false">P60</f>
        <v>1064.21611343746</v>
      </c>
      <c r="Q82" s="61" t="n">
        <f aca="false">Q60</f>
        <v>1258.56075482547</v>
      </c>
      <c r="R82" s="61" t="n">
        <f aca="false">R60</f>
        <v>1124.59705195197</v>
      </c>
      <c r="S82" s="61" t="n">
        <f aca="false">S60</f>
        <v>1604.3943892397</v>
      </c>
      <c r="T82" s="61" t="n">
        <f aca="false">T60</f>
        <v>1844.51473458374</v>
      </c>
      <c r="U82" s="61" t="n">
        <f aca="false">U60</f>
        <v>1989.36528231723</v>
      </c>
      <c r="V82" s="61" t="n">
        <f aca="false">V60</f>
        <v>2087.51010088537</v>
      </c>
      <c r="W82" s="61" t="n">
        <f aca="false">W60</f>
        <v>2276.40081629353</v>
      </c>
      <c r="X82" s="61" t="n">
        <f aca="false">X60</f>
        <v>1089.76708082191</v>
      </c>
      <c r="Y82" s="304" t="n">
        <f aca="false">SUM(D82:X82)</f>
        <v>16641.5149107709</v>
      </c>
      <c r="AA82" s="136" t="n">
        <f aca="false">AA81+1</f>
        <v>76</v>
      </c>
    </row>
    <row r="83" customFormat="false" ht="12.75" hidden="false" customHeight="false" outlineLevel="0" collapsed="false">
      <c r="A83" s="37" t="s">
        <v>830</v>
      </c>
      <c r="B83" s="39"/>
      <c r="C83" s="39"/>
      <c r="D83" s="306" t="n">
        <f aca="false">SUM(D70,D75,D80)</f>
        <v>0</v>
      </c>
      <c r="E83" s="306" t="n">
        <f aca="false">SUM(E70,E75,E80)</f>
        <v>0</v>
      </c>
      <c r="F83" s="306" t="n">
        <f aca="false">SUM(F70,F75,F80)</f>
        <v>0</v>
      </c>
      <c r="G83" s="306" t="n">
        <f aca="false">SUM(G70,G75,G80)</f>
        <v>0</v>
      </c>
      <c r="H83" s="306" t="n">
        <f aca="false">SUM(H70,H75,H80)</f>
        <v>0</v>
      </c>
      <c r="I83" s="306" t="n">
        <f aca="false">SUM(I70,I75,I80)</f>
        <v>0</v>
      </c>
      <c r="J83" s="306" t="n">
        <f aca="false">SUM(J70,J75,J80)</f>
        <v>0</v>
      </c>
      <c r="K83" s="306" t="n">
        <f aca="false">SUM(K70,K75,K80)</f>
        <v>0</v>
      </c>
      <c r="L83" s="306" t="n">
        <f aca="false">SUM(L70,L75,L80)</f>
        <v>0</v>
      </c>
      <c r="M83" s="306" t="n">
        <f aca="false">SUM(M70,M75,M80)</f>
        <v>0</v>
      </c>
      <c r="N83" s="306" t="n">
        <f aca="false">SUM(N70,N75,N80)</f>
        <v>0</v>
      </c>
      <c r="O83" s="306" t="n">
        <f aca="false">SUM(O70,O75,O80)</f>
        <v>0</v>
      </c>
      <c r="P83" s="306" t="n">
        <f aca="false">SUM(P70,P75,P80)</f>
        <v>0</v>
      </c>
      <c r="Q83" s="306" t="n">
        <f aca="false">SUM(Q70,Q75,Q80)</f>
        <v>0</v>
      </c>
      <c r="R83" s="306" t="n">
        <f aca="false">SUM(R70,R75,R80)</f>
        <v>0</v>
      </c>
      <c r="S83" s="306" t="n">
        <f aca="false">SUM(S70,S75,S80)</f>
        <v>0</v>
      </c>
      <c r="T83" s="306" t="n">
        <f aca="false">SUM(T70,T75,T80)</f>
        <v>0</v>
      </c>
      <c r="U83" s="306" t="n">
        <f aca="false">SUM(U70,U75,U80)</f>
        <v>0</v>
      </c>
      <c r="V83" s="306" t="n">
        <f aca="false">SUM(V70,V75,V80)</f>
        <v>0</v>
      </c>
      <c r="W83" s="306" t="n">
        <f aca="false">SUM(W70,W75,W80)</f>
        <v>0</v>
      </c>
      <c r="X83" s="306" t="n">
        <f aca="false">SUM(X70,X75,X80)</f>
        <v>0</v>
      </c>
      <c r="Y83" s="307" t="n">
        <f aca="false">SUM(D83:X83)</f>
        <v>0</v>
      </c>
      <c r="Z83" s="39"/>
      <c r="AA83" s="136" t="n">
        <f aca="false">AA82+1</f>
        <v>77</v>
      </c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  <c r="GH83" s="39"/>
      <c r="GI83" s="39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  <c r="IA83" s="39"/>
      <c r="IB83" s="39"/>
      <c r="IC83" s="39"/>
      <c r="ID83" s="39"/>
      <c r="IE83" s="39"/>
      <c r="IF83" s="39"/>
      <c r="IG83" s="39"/>
      <c r="IH83" s="39"/>
      <c r="II83" s="39"/>
      <c r="IJ83" s="39"/>
      <c r="IK83" s="39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  <c r="IW83" s="39"/>
    </row>
    <row r="84" customFormat="false" ht="12.75" hidden="false" customHeight="false" outlineLevel="0" collapsed="false">
      <c r="A84" s="894" t="s">
        <v>831</v>
      </c>
      <c r="B84" s="895"/>
      <c r="C84" s="466"/>
      <c r="D84" s="896" t="n">
        <f aca="false">SUM(D82:D83)</f>
        <v>0</v>
      </c>
      <c r="E84" s="896" t="n">
        <f aca="false">SUM(E82:E83)</f>
        <v>0</v>
      </c>
      <c r="F84" s="896" t="n">
        <f aca="false">SUM(F82:F83)</f>
        <v>0</v>
      </c>
      <c r="G84" s="896" t="n">
        <f aca="false">SUM(G82:G83)</f>
        <v>0</v>
      </c>
      <c r="H84" s="896" t="n">
        <f aca="false">SUM(H82:H83)</f>
        <v>0</v>
      </c>
      <c r="I84" s="896" t="n">
        <f aca="false">SUM(I82:I83)</f>
        <v>0</v>
      </c>
      <c r="J84" s="896" t="n">
        <f aca="false">SUM(J82:J83)</f>
        <v>0</v>
      </c>
      <c r="K84" s="896" t="n">
        <f aca="false">SUM(K82:K83)</f>
        <v>0</v>
      </c>
      <c r="L84" s="896" t="n">
        <f aca="false">SUM(L82:L83)</f>
        <v>174.324282490501</v>
      </c>
      <c r="M84" s="896" t="n">
        <f aca="false">SUM(M82:M83)</f>
        <v>517.842586717923</v>
      </c>
      <c r="N84" s="896" t="n">
        <f aca="false">SUM(N82:N83)</f>
        <v>733.282099722669</v>
      </c>
      <c r="O84" s="896" t="n">
        <f aca="false">SUM(O82:O83)</f>
        <v>876.73961748338</v>
      </c>
      <c r="P84" s="896" t="n">
        <f aca="false">SUM(P82:P83)</f>
        <v>1064.21611343746</v>
      </c>
      <c r="Q84" s="896" t="n">
        <f aca="false">SUM(Q82:Q83)</f>
        <v>1258.56075482547</v>
      </c>
      <c r="R84" s="896" t="n">
        <f aca="false">SUM(R82:R83)</f>
        <v>1124.59705195197</v>
      </c>
      <c r="S84" s="896" t="n">
        <f aca="false">SUM(S82:S83)</f>
        <v>1604.3943892397</v>
      </c>
      <c r="T84" s="896" t="n">
        <f aca="false">SUM(T82:T83)</f>
        <v>1844.51473458374</v>
      </c>
      <c r="U84" s="896" t="n">
        <f aca="false">SUM(U82:U83)</f>
        <v>1989.36528231723</v>
      </c>
      <c r="V84" s="896" t="n">
        <f aca="false">SUM(V82:V83)</f>
        <v>2087.51010088537</v>
      </c>
      <c r="W84" s="896" t="n">
        <f aca="false">SUM(W82:W83)</f>
        <v>2276.40081629353</v>
      </c>
      <c r="X84" s="896" t="n">
        <f aca="false">SUM(X82:X83)</f>
        <v>1089.76708082191</v>
      </c>
      <c r="Y84" s="897" t="n">
        <f aca="false">SUM(D84:X84)</f>
        <v>16641.5149107709</v>
      </c>
      <c r="AA84" s="136" t="n">
        <f aca="false">AA83+1</f>
        <v>78</v>
      </c>
    </row>
    <row r="85" customFormat="false" ht="12.75" hidden="false" customHeight="false" outlineLevel="0" collapsed="false">
      <c r="A85" s="303"/>
      <c r="B85" s="38"/>
      <c r="C85" s="39"/>
      <c r="D85" s="898"/>
      <c r="E85" s="898"/>
      <c r="F85" s="898"/>
      <c r="G85" s="898"/>
      <c r="H85" s="898"/>
      <c r="I85" s="898"/>
      <c r="J85" s="898"/>
      <c r="K85" s="898"/>
      <c r="L85" s="898"/>
      <c r="M85" s="898"/>
      <c r="N85" s="898"/>
      <c r="O85" s="898"/>
      <c r="P85" s="898"/>
      <c r="Q85" s="898"/>
      <c r="R85" s="898"/>
      <c r="S85" s="898"/>
      <c r="T85" s="898"/>
      <c r="U85" s="898"/>
      <c r="V85" s="898"/>
      <c r="W85" s="898"/>
      <c r="X85" s="898"/>
      <c r="Y85" s="899"/>
      <c r="AA85" s="136" t="n">
        <f aca="false">AA84+1</f>
        <v>79</v>
      </c>
    </row>
    <row r="86" customFormat="false" ht="12.75" hidden="false" customHeight="false" outlineLevel="0" collapsed="false">
      <c r="A86" s="114" t="s">
        <v>832</v>
      </c>
      <c r="B86" s="38"/>
      <c r="C86" s="39"/>
      <c r="D86" s="898"/>
      <c r="E86" s="898"/>
      <c r="F86" s="898"/>
      <c r="G86" s="898"/>
      <c r="H86" s="898"/>
      <c r="I86" s="898"/>
      <c r="J86" s="898"/>
      <c r="K86" s="898"/>
      <c r="L86" s="898"/>
      <c r="M86" s="898"/>
      <c r="N86" s="898"/>
      <c r="O86" s="898"/>
      <c r="P86" s="898"/>
      <c r="Q86" s="898"/>
      <c r="R86" s="898"/>
      <c r="S86" s="898"/>
      <c r="T86" s="898"/>
      <c r="U86" s="898"/>
      <c r="V86" s="898"/>
      <c r="W86" s="898"/>
      <c r="X86" s="898"/>
      <c r="Y86" s="899"/>
      <c r="Z86" s="39"/>
      <c r="AA86" s="136" t="n">
        <f aca="false">AA85+1</f>
        <v>80</v>
      </c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39"/>
      <c r="FT86" s="39"/>
      <c r="FU86" s="39"/>
      <c r="FV86" s="39"/>
      <c r="FW86" s="39"/>
      <c r="FX86" s="39"/>
      <c r="FY86" s="39"/>
      <c r="FZ86" s="39"/>
      <c r="GA86" s="39"/>
      <c r="GB86" s="39"/>
      <c r="GC86" s="39"/>
      <c r="GD86" s="39"/>
      <c r="GE86" s="39"/>
      <c r="GF86" s="39"/>
      <c r="GG86" s="39"/>
      <c r="GH86" s="39"/>
      <c r="GI86" s="39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  <c r="IA86" s="39"/>
      <c r="IB86" s="39"/>
      <c r="IC86" s="39"/>
      <c r="ID86" s="39"/>
      <c r="IE86" s="39"/>
      <c r="IF86" s="39"/>
      <c r="IG86" s="39"/>
      <c r="IH86" s="39"/>
      <c r="II86" s="39"/>
      <c r="IJ86" s="39"/>
      <c r="IK86" s="39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  <c r="IW86" s="39"/>
    </row>
    <row r="87" customFormat="false" ht="12.75" hidden="false" customHeight="false" outlineLevel="0" collapsed="false">
      <c r="A87" s="37" t="s">
        <v>833</v>
      </c>
      <c r="B87" s="39"/>
      <c r="C87" s="39"/>
      <c r="D87" s="98" t="n">
        <v>0</v>
      </c>
      <c r="E87" s="61" t="n">
        <f aca="false">D90</f>
        <v>0</v>
      </c>
      <c r="F87" s="61" t="n">
        <f aca="false">E90</f>
        <v>0</v>
      </c>
      <c r="G87" s="61" t="n">
        <f aca="false">F90</f>
        <v>0</v>
      </c>
      <c r="H87" s="61" t="n">
        <f aca="false">G90</f>
        <v>0</v>
      </c>
      <c r="I87" s="61" t="n">
        <f aca="false">H90</f>
        <v>0</v>
      </c>
      <c r="J87" s="61" t="n">
        <f aca="false">I90</f>
        <v>0</v>
      </c>
      <c r="K87" s="61" t="n">
        <f aca="false">J90</f>
        <v>0</v>
      </c>
      <c r="L87" s="61" t="n">
        <f aca="false">K90</f>
        <v>0</v>
      </c>
      <c r="M87" s="61" t="n">
        <f aca="false">L90</f>
        <v>0</v>
      </c>
      <c r="N87" s="61" t="n">
        <f aca="false">M90</f>
        <v>0</v>
      </c>
      <c r="O87" s="61" t="n">
        <f aca="false">N90</f>
        <v>0</v>
      </c>
      <c r="P87" s="61" t="n">
        <f aca="false">O90</f>
        <v>0</v>
      </c>
      <c r="Q87" s="61" t="n">
        <f aca="false">P90</f>
        <v>0</v>
      </c>
      <c r="R87" s="61" t="n">
        <f aca="false">Q90</f>
        <v>0</v>
      </c>
      <c r="S87" s="61" t="n">
        <f aca="false">R90</f>
        <v>0</v>
      </c>
      <c r="T87" s="61" t="n">
        <f aca="false">S90</f>
        <v>0</v>
      </c>
      <c r="U87" s="61" t="n">
        <f aca="false">T90</f>
        <v>0</v>
      </c>
      <c r="V87" s="61" t="n">
        <f aca="false">U90</f>
        <v>0</v>
      </c>
      <c r="W87" s="61" t="n">
        <f aca="false">V90</f>
        <v>0</v>
      </c>
      <c r="X87" s="61" t="n">
        <f aca="false">W90</f>
        <v>0</v>
      </c>
      <c r="Y87" s="304" t="n">
        <f aca="false">D87</f>
        <v>0</v>
      </c>
      <c r="Z87" s="39"/>
      <c r="AA87" s="136" t="n">
        <f aca="false">AA86+1</f>
        <v>81</v>
      </c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39"/>
      <c r="FT87" s="39"/>
      <c r="FU87" s="39"/>
      <c r="FV87" s="39"/>
      <c r="FW87" s="39"/>
      <c r="FX87" s="39"/>
      <c r="FY87" s="39"/>
      <c r="FZ87" s="39"/>
      <c r="GA87" s="39"/>
      <c r="GB87" s="39"/>
      <c r="GC87" s="39"/>
      <c r="GD87" s="39"/>
      <c r="GE87" s="39"/>
      <c r="GF87" s="39"/>
      <c r="GG87" s="39"/>
      <c r="GH87" s="39"/>
      <c r="GI87" s="39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  <c r="IA87" s="39"/>
      <c r="IB87" s="39"/>
      <c r="IC87" s="39"/>
      <c r="ID87" s="39"/>
      <c r="IE87" s="39"/>
      <c r="IF87" s="39"/>
      <c r="IG87" s="39"/>
      <c r="IH87" s="39"/>
      <c r="II87" s="39"/>
      <c r="IJ87" s="39"/>
      <c r="IK87" s="39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  <c r="IW87" s="39"/>
    </row>
    <row r="88" customFormat="false" ht="12.75" hidden="false" customHeight="false" outlineLevel="0" collapsed="false">
      <c r="A88" s="37" t="s">
        <v>834</v>
      </c>
      <c r="B88" s="38"/>
      <c r="C88" s="39"/>
      <c r="D88" s="61" t="n">
        <f aca="false">D60</f>
        <v>0</v>
      </c>
      <c r="E88" s="61" t="n">
        <f aca="false">E60</f>
        <v>0</v>
      </c>
      <c r="F88" s="61" t="n">
        <f aca="false">F60</f>
        <v>0</v>
      </c>
      <c r="G88" s="61" t="n">
        <f aca="false">G60</f>
        <v>0</v>
      </c>
      <c r="H88" s="61" t="n">
        <f aca="false">H60</f>
        <v>0</v>
      </c>
      <c r="I88" s="61" t="n">
        <f aca="false">I60</f>
        <v>0</v>
      </c>
      <c r="J88" s="61" t="n">
        <f aca="false">J60</f>
        <v>0</v>
      </c>
      <c r="K88" s="61" t="n">
        <f aca="false">K60</f>
        <v>0</v>
      </c>
      <c r="L88" s="61" t="n">
        <f aca="false">L60</f>
        <v>174.324282490501</v>
      </c>
      <c r="M88" s="61" t="n">
        <f aca="false">M60</f>
        <v>517.842586717923</v>
      </c>
      <c r="N88" s="61" t="n">
        <f aca="false">N60</f>
        <v>733.282099722669</v>
      </c>
      <c r="O88" s="61" t="n">
        <f aca="false">O60</f>
        <v>876.73961748338</v>
      </c>
      <c r="P88" s="61" t="n">
        <f aca="false">P60</f>
        <v>1064.21611343746</v>
      </c>
      <c r="Q88" s="61" t="n">
        <f aca="false">Q60</f>
        <v>1258.56075482547</v>
      </c>
      <c r="R88" s="61" t="n">
        <f aca="false">R60</f>
        <v>1124.59705195197</v>
      </c>
      <c r="S88" s="61" t="n">
        <f aca="false">S60</f>
        <v>1604.3943892397</v>
      </c>
      <c r="T88" s="61" t="n">
        <f aca="false">T60</f>
        <v>1844.51473458374</v>
      </c>
      <c r="U88" s="61" t="n">
        <f aca="false">U60</f>
        <v>1989.36528231723</v>
      </c>
      <c r="V88" s="61" t="n">
        <f aca="false">V60</f>
        <v>2087.51010088537</v>
      </c>
      <c r="W88" s="61" t="n">
        <f aca="false">W60</f>
        <v>2276.40081629353</v>
      </c>
      <c r="X88" s="61" t="n">
        <f aca="false">X60</f>
        <v>1089.76708082191</v>
      </c>
      <c r="Y88" s="304" t="n">
        <f aca="false">SUM(D88:X88)</f>
        <v>16641.5149107709</v>
      </c>
      <c r="AA88" s="136" t="n">
        <f aca="false">AA87+1</f>
        <v>82</v>
      </c>
    </row>
    <row r="89" customFormat="false" ht="12.75" hidden="false" customHeight="false" outlineLevel="0" collapsed="false">
      <c r="A89" s="37" t="s">
        <v>835</v>
      </c>
      <c r="B89" s="38"/>
      <c r="C89" s="39"/>
      <c r="D89" s="306" t="n">
        <f aca="false">D84</f>
        <v>0</v>
      </c>
      <c r="E89" s="306" t="n">
        <f aca="false">E84</f>
        <v>0</v>
      </c>
      <c r="F89" s="306" t="n">
        <f aca="false">F84</f>
        <v>0</v>
      </c>
      <c r="G89" s="306" t="n">
        <f aca="false">G84</f>
        <v>0</v>
      </c>
      <c r="H89" s="306" t="n">
        <f aca="false">H84</f>
        <v>0</v>
      </c>
      <c r="I89" s="306" t="n">
        <f aca="false">I84</f>
        <v>0</v>
      </c>
      <c r="J89" s="306" t="n">
        <f aca="false">J84</f>
        <v>0</v>
      </c>
      <c r="K89" s="306" t="n">
        <f aca="false">K84</f>
        <v>0</v>
      </c>
      <c r="L89" s="306" t="n">
        <f aca="false">L84</f>
        <v>174.324282490501</v>
      </c>
      <c r="M89" s="306" t="n">
        <f aca="false">M84</f>
        <v>517.842586717923</v>
      </c>
      <c r="N89" s="306" t="n">
        <f aca="false">N84</f>
        <v>733.282099722669</v>
      </c>
      <c r="O89" s="306" t="n">
        <f aca="false">O84</f>
        <v>876.73961748338</v>
      </c>
      <c r="P89" s="306" t="n">
        <f aca="false">P84</f>
        <v>1064.21611343746</v>
      </c>
      <c r="Q89" s="306" t="n">
        <f aca="false">Q84</f>
        <v>1258.56075482547</v>
      </c>
      <c r="R89" s="306" t="n">
        <f aca="false">R84</f>
        <v>1124.59705195197</v>
      </c>
      <c r="S89" s="306" t="n">
        <f aca="false">S84</f>
        <v>1604.3943892397</v>
      </c>
      <c r="T89" s="306" t="n">
        <f aca="false">T84</f>
        <v>1844.51473458374</v>
      </c>
      <c r="U89" s="306" t="n">
        <f aca="false">U84</f>
        <v>1989.36528231723</v>
      </c>
      <c r="V89" s="306" t="n">
        <f aca="false">V84</f>
        <v>2087.51010088537</v>
      </c>
      <c r="W89" s="306" t="n">
        <f aca="false">W84</f>
        <v>2276.40081629353</v>
      </c>
      <c r="X89" s="306" t="n">
        <f aca="false">X84</f>
        <v>1089.76708082191</v>
      </c>
      <c r="Y89" s="307" t="n">
        <f aca="false">SUM(D89:X89)</f>
        <v>16641.5149107709</v>
      </c>
      <c r="AA89" s="136" t="n">
        <f aca="false">AA88+1</f>
        <v>83</v>
      </c>
    </row>
    <row r="90" customFormat="false" ht="12.75" hidden="false" customHeight="false" outlineLevel="0" collapsed="false">
      <c r="A90" s="590" t="s">
        <v>836</v>
      </c>
      <c r="B90" s="466"/>
      <c r="C90" s="466"/>
      <c r="D90" s="532" t="n">
        <f aca="false">SUM(D87,D88,-D89)</f>
        <v>0</v>
      </c>
      <c r="E90" s="532" t="n">
        <f aca="false">SUM(E87,E88,-E89)</f>
        <v>0</v>
      </c>
      <c r="F90" s="532" t="n">
        <f aca="false">SUM(F87,F88,-F89)</f>
        <v>0</v>
      </c>
      <c r="G90" s="532" t="n">
        <f aca="false">SUM(G87,G88,-G89)</f>
        <v>0</v>
      </c>
      <c r="H90" s="532" t="n">
        <f aca="false">SUM(H87,H88,-H89)</f>
        <v>0</v>
      </c>
      <c r="I90" s="532" t="n">
        <f aca="false">SUM(I87,I88,-I89)</f>
        <v>0</v>
      </c>
      <c r="J90" s="532" t="n">
        <f aca="false">SUM(J87,J88,-J89)</f>
        <v>0</v>
      </c>
      <c r="K90" s="532" t="n">
        <f aca="false">SUM(K87,K88,-K89)</f>
        <v>0</v>
      </c>
      <c r="L90" s="532" t="n">
        <f aca="false">SUM(L87,L88,-L89)</f>
        <v>0</v>
      </c>
      <c r="M90" s="532" t="n">
        <f aca="false">SUM(M87,M88,-M89)</f>
        <v>0</v>
      </c>
      <c r="N90" s="532" t="n">
        <f aca="false">SUM(N87,N88,-N89)</f>
        <v>0</v>
      </c>
      <c r="O90" s="532" t="n">
        <f aca="false">SUM(O87,O88,-O89)</f>
        <v>0</v>
      </c>
      <c r="P90" s="532" t="n">
        <f aca="false">SUM(P87,P88,-P89)</f>
        <v>0</v>
      </c>
      <c r="Q90" s="532" t="n">
        <f aca="false">SUM(Q87,Q88,-Q89)</f>
        <v>0</v>
      </c>
      <c r="R90" s="532" t="n">
        <f aca="false">SUM(R87,R88,-R89)</f>
        <v>0</v>
      </c>
      <c r="S90" s="532" t="n">
        <f aca="false">SUM(S87,S88,-S89)</f>
        <v>0</v>
      </c>
      <c r="T90" s="532" t="n">
        <f aca="false">SUM(T87,T88,-T89)</f>
        <v>0</v>
      </c>
      <c r="U90" s="532" t="n">
        <f aca="false">SUM(U87,U88,-U89)</f>
        <v>0</v>
      </c>
      <c r="V90" s="532" t="n">
        <f aca="false">SUM(V87,V88,-V89)</f>
        <v>0</v>
      </c>
      <c r="W90" s="532" t="n">
        <f aca="false">SUM(W87,W88,-W89)</f>
        <v>0</v>
      </c>
      <c r="X90" s="532" t="n">
        <f aca="false">SUM(X87,X88,-X89)</f>
        <v>0</v>
      </c>
      <c r="Y90" s="888" t="n">
        <f aca="false">SUM(Y87,Y88,-Y89)</f>
        <v>0</v>
      </c>
      <c r="AA90" s="136" t="n">
        <f aca="false">AA89+1</f>
        <v>84</v>
      </c>
    </row>
  </sheetData>
  <mergeCells count="1">
    <mergeCell ref="B26:C26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.7"/>
    <col collapsed="false" customWidth="true" hidden="false" outlineLevel="0" max="2" min="2" style="1" width="30.7"/>
    <col collapsed="false" customWidth="true" hidden="false" outlineLevel="0" max="3" min="3" style="1" width="1.7"/>
    <col collapsed="false" customWidth="true" hidden="false" outlineLevel="0" max="4" min="4" style="1" width="10.71"/>
    <col collapsed="false" customWidth="true" hidden="false" outlineLevel="0" max="5" min="5" style="1" width="1.7"/>
    <col collapsed="false" customWidth="true" hidden="false" outlineLevel="0" max="6" min="6" style="1" width="10.71"/>
    <col collapsed="false" customWidth="true" hidden="false" outlineLevel="0" max="7" min="7" style="1" width="1.7"/>
    <col collapsed="false" customWidth="true" hidden="false" outlineLevel="0" max="29" min="8" style="1" width="10.71"/>
    <col collapsed="false" customWidth="false" hidden="false" outlineLevel="0" max="257" min="3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469"/>
      <c r="D1" s="351"/>
      <c r="E1" s="469"/>
      <c r="F1" s="15"/>
      <c r="G1" s="469"/>
      <c r="H1" s="469"/>
      <c r="I1" s="469"/>
      <c r="J1" s="470"/>
      <c r="K1" s="469"/>
      <c r="L1" s="469"/>
      <c r="M1" s="471"/>
      <c r="N1" s="469"/>
      <c r="O1" s="469"/>
      <c r="P1" s="469"/>
      <c r="Q1" s="469"/>
      <c r="R1" s="469"/>
      <c r="S1" s="469"/>
      <c r="T1" s="469"/>
      <c r="U1" s="355"/>
      <c r="V1" s="469"/>
      <c r="W1" s="469"/>
      <c r="X1" s="469"/>
      <c r="Y1" s="469"/>
      <c r="Z1" s="469"/>
      <c r="AA1" s="469"/>
      <c r="AB1" s="469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469"/>
      <c r="D2" s="351"/>
      <c r="E2" s="469"/>
      <c r="F2" s="15"/>
      <c r="G2" s="469"/>
      <c r="H2" s="469"/>
      <c r="I2" s="469"/>
      <c r="J2" s="470"/>
      <c r="K2" s="469"/>
      <c r="L2" s="469"/>
      <c r="M2" s="471"/>
      <c r="N2" s="469"/>
      <c r="O2" s="469"/>
      <c r="P2" s="469"/>
      <c r="Q2" s="469"/>
      <c r="R2" s="469"/>
      <c r="S2" s="469"/>
      <c r="T2" s="469"/>
      <c r="U2" s="355"/>
      <c r="V2" s="469"/>
      <c r="W2" s="469"/>
      <c r="X2" s="469"/>
      <c r="Y2" s="469"/>
      <c r="Z2" s="469"/>
      <c r="AA2" s="469"/>
      <c r="AB2" s="469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469"/>
      <c r="D3" s="356"/>
      <c r="E3" s="469"/>
      <c r="F3" s="15"/>
      <c r="G3" s="469"/>
      <c r="H3" s="472"/>
      <c r="I3" s="469"/>
      <c r="J3" s="470"/>
      <c r="K3" s="469"/>
      <c r="L3" s="469"/>
      <c r="M3" s="471"/>
      <c r="N3" s="469"/>
      <c r="O3" s="469"/>
      <c r="P3" s="469"/>
      <c r="Q3" s="469"/>
      <c r="R3" s="469"/>
      <c r="S3" s="469"/>
      <c r="T3" s="469"/>
      <c r="U3" s="469"/>
      <c r="V3" s="473"/>
      <c r="W3" s="473"/>
      <c r="X3" s="469"/>
      <c r="Y3" s="469"/>
      <c r="Z3" s="469"/>
      <c r="AA3" s="469"/>
      <c r="AB3" s="469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837</v>
      </c>
      <c r="B4" s="21"/>
      <c r="C4" s="469"/>
      <c r="D4" s="885"/>
      <c r="E4" s="469"/>
      <c r="F4" s="15"/>
      <c r="G4" s="469"/>
      <c r="H4" s="472"/>
      <c r="I4" s="469"/>
      <c r="J4" s="470"/>
      <c r="K4" s="469"/>
      <c r="L4" s="469"/>
      <c r="M4" s="471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469"/>
      <c r="AB4" s="469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6"/>
      <c r="E6" s="26"/>
      <c r="F6" s="26"/>
      <c r="G6" s="26"/>
      <c r="H6" s="26" t="n">
        <f aca="false">CF!E6</f>
        <v>1</v>
      </c>
      <c r="I6" s="26" t="n">
        <f aca="false">CF!F6</f>
        <v>2</v>
      </c>
      <c r="J6" s="26" t="n">
        <f aca="false">CF!G6</f>
        <v>3</v>
      </c>
      <c r="K6" s="26" t="n">
        <f aca="false">CF!H6</f>
        <v>4</v>
      </c>
      <c r="L6" s="26" t="n">
        <f aca="false">CF!I6</f>
        <v>5</v>
      </c>
      <c r="M6" s="26" t="n">
        <f aca="false">CF!J6</f>
        <v>6</v>
      </c>
      <c r="N6" s="26" t="n">
        <f aca="false">CF!K6</f>
        <v>7</v>
      </c>
      <c r="O6" s="26" t="n">
        <f aca="false">CF!L6</f>
        <v>8</v>
      </c>
      <c r="P6" s="26" t="n">
        <f aca="false">CF!M6</f>
        <v>9</v>
      </c>
      <c r="Q6" s="26" t="n">
        <f aca="false">CF!N6</f>
        <v>10</v>
      </c>
      <c r="R6" s="26" t="n">
        <f aca="false">CF!O6</f>
        <v>11</v>
      </c>
      <c r="S6" s="26" t="n">
        <f aca="false">CF!P6</f>
        <v>12</v>
      </c>
      <c r="T6" s="26" t="n">
        <f aca="false">CF!Q6</f>
        <v>13</v>
      </c>
      <c r="U6" s="26" t="n">
        <f aca="false">CF!R6</f>
        <v>14</v>
      </c>
      <c r="V6" s="26" t="n">
        <f aca="false">CF!S6</f>
        <v>15</v>
      </c>
      <c r="W6" s="26" t="n">
        <f aca="false">CF!T6</f>
        <v>16</v>
      </c>
      <c r="X6" s="26" t="n">
        <f aca="false">CF!U6</f>
        <v>17</v>
      </c>
      <c r="Y6" s="26" t="n">
        <f aca="false">CF!V6</f>
        <v>18</v>
      </c>
      <c r="Z6" s="26" t="n">
        <f aca="false">CF!W6</f>
        <v>19</v>
      </c>
      <c r="AA6" s="26" t="n">
        <f aca="false">CF!X6</f>
        <v>20</v>
      </c>
      <c r="AB6" s="26" t="n">
        <f aca="false">CF!Y6</f>
        <v>21</v>
      </c>
      <c r="AC6" s="287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89" t="s">
        <v>322</v>
      </c>
      <c r="B7" s="22"/>
      <c r="C7" s="22"/>
      <c r="D7" s="22"/>
      <c r="E7" s="22"/>
      <c r="F7" s="22"/>
      <c r="G7" s="22"/>
      <c r="H7" s="292" t="n">
        <f aca="false">CF!E7</f>
        <v>1999</v>
      </c>
      <c r="I7" s="292" t="n">
        <f aca="false">CF!F7</f>
        <v>2000</v>
      </c>
      <c r="J7" s="292" t="n">
        <f aca="false">CF!G7</f>
        <v>2001</v>
      </c>
      <c r="K7" s="292" t="n">
        <f aca="false">CF!H7</f>
        <v>2002</v>
      </c>
      <c r="L7" s="292" t="n">
        <f aca="false">CF!I7</f>
        <v>2003</v>
      </c>
      <c r="M7" s="292" t="n">
        <f aca="false">CF!J7</f>
        <v>2004</v>
      </c>
      <c r="N7" s="292" t="n">
        <f aca="false">CF!K7</f>
        <v>2005</v>
      </c>
      <c r="O7" s="292" t="n">
        <f aca="false">CF!L7</f>
        <v>2006</v>
      </c>
      <c r="P7" s="292" t="n">
        <f aca="false">CF!M7</f>
        <v>2007</v>
      </c>
      <c r="Q7" s="292" t="n">
        <f aca="false">CF!N7</f>
        <v>2008</v>
      </c>
      <c r="R7" s="292" t="n">
        <f aca="false">CF!O7</f>
        <v>2009</v>
      </c>
      <c r="S7" s="292" t="n">
        <f aca="false">CF!P7</f>
        <v>2010</v>
      </c>
      <c r="T7" s="292" t="n">
        <f aca="false">CF!Q7</f>
        <v>2011</v>
      </c>
      <c r="U7" s="292" t="n">
        <f aca="false">CF!R7</f>
        <v>2012</v>
      </c>
      <c r="V7" s="292" t="n">
        <f aca="false">CF!S7</f>
        <v>2013</v>
      </c>
      <c r="W7" s="292" t="n">
        <f aca="false">CF!T7</f>
        <v>2014</v>
      </c>
      <c r="X7" s="292" t="n">
        <f aca="false">CF!U7</f>
        <v>2015</v>
      </c>
      <c r="Y7" s="292" t="n">
        <f aca="false">CF!V7</f>
        <v>2016</v>
      </c>
      <c r="Z7" s="292" t="n">
        <f aca="false">CF!W7</f>
        <v>2017</v>
      </c>
      <c r="AA7" s="292" t="n">
        <f aca="false">CF!X7</f>
        <v>2018</v>
      </c>
      <c r="AB7" s="292" t="n">
        <f aca="false">CF!Y7</f>
        <v>2019</v>
      </c>
      <c r="AC7" s="293" t="s">
        <v>718</v>
      </c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94"/>
      <c r="B8" s="39"/>
      <c r="C8" s="39"/>
      <c r="D8" s="39"/>
      <c r="E8" s="39"/>
      <c r="F8" s="39"/>
      <c r="G8" s="39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297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423</v>
      </c>
      <c r="B9" s="39"/>
      <c r="C9" s="39"/>
      <c r="D9" s="39"/>
      <c r="E9" s="39"/>
      <c r="F9" s="39"/>
      <c r="G9" s="39"/>
      <c r="H9" s="39" t="n">
        <f aca="false">CF!E9</f>
        <v>0</v>
      </c>
      <c r="I9" s="39" t="n">
        <f aca="false">CF!F9</f>
        <v>0</v>
      </c>
      <c r="J9" s="39" t="n">
        <f aca="false">CF!G9</f>
        <v>10</v>
      </c>
      <c r="K9" s="39" t="n">
        <f aca="false">CF!H9</f>
        <v>12</v>
      </c>
      <c r="L9" s="39" t="n">
        <f aca="false">CF!I9</f>
        <v>12</v>
      </c>
      <c r="M9" s="39" t="n">
        <f aca="false">CF!J9</f>
        <v>12</v>
      </c>
      <c r="N9" s="39" t="n">
        <f aca="false">CF!K9</f>
        <v>12</v>
      </c>
      <c r="O9" s="39" t="n">
        <f aca="false">CF!L9</f>
        <v>12</v>
      </c>
      <c r="P9" s="39" t="n">
        <f aca="false">CF!M9</f>
        <v>12</v>
      </c>
      <c r="Q9" s="39" t="n">
        <f aca="false">CF!N9</f>
        <v>12</v>
      </c>
      <c r="R9" s="39" t="n">
        <f aca="false">CF!O9</f>
        <v>12</v>
      </c>
      <c r="S9" s="39" t="n">
        <f aca="false">CF!P9</f>
        <v>12</v>
      </c>
      <c r="T9" s="39" t="n">
        <f aca="false">CF!Q9</f>
        <v>12</v>
      </c>
      <c r="U9" s="39" t="n">
        <f aca="false">CF!R9</f>
        <v>12</v>
      </c>
      <c r="V9" s="39" t="n">
        <f aca="false">CF!S9</f>
        <v>12</v>
      </c>
      <c r="W9" s="39" t="n">
        <f aca="false">CF!T9</f>
        <v>12</v>
      </c>
      <c r="X9" s="39" t="n">
        <f aca="false">CF!U9</f>
        <v>12</v>
      </c>
      <c r="Y9" s="39" t="n">
        <f aca="false">CF!V9</f>
        <v>12</v>
      </c>
      <c r="Z9" s="39" t="n">
        <f aca="false">CF!W9</f>
        <v>12</v>
      </c>
      <c r="AA9" s="39" t="n">
        <f aca="false">CF!X9</f>
        <v>12</v>
      </c>
      <c r="AB9" s="39" t="n">
        <f aca="false">CF!Y9</f>
        <v>4</v>
      </c>
      <c r="AC9" s="298" t="n">
        <f aca="false">CF!Z9</f>
        <v>218</v>
      </c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298"/>
      <c r="AD10" s="39"/>
    </row>
    <row r="11" customFormat="false" ht="12.75" hidden="false" customHeight="false" outlineLevel="0" collapsed="false">
      <c r="A11" s="506"/>
      <c r="B11" s="507"/>
      <c r="C11" s="507"/>
      <c r="D11" s="900" t="s">
        <v>193</v>
      </c>
      <c r="E11" s="507"/>
      <c r="F11" s="901" t="s">
        <v>198</v>
      </c>
      <c r="G11" s="507"/>
      <c r="H11" s="773" t="s">
        <v>200</v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298"/>
    </row>
    <row r="12" customFormat="false" ht="12.75" hidden="false" customHeight="false" outlineLevel="0" collapsed="false">
      <c r="A12" s="568" t="s">
        <v>838</v>
      </c>
      <c r="B12" s="403"/>
      <c r="C12" s="403"/>
      <c r="D12" s="902" t="n">
        <f aca="false">Cost</f>
        <v>126558.004643692</v>
      </c>
      <c r="E12" s="403"/>
      <c r="F12" s="903" t="n">
        <f aca="false">D12</f>
        <v>126558.004643692</v>
      </c>
      <c r="G12" s="403"/>
      <c r="H12" s="776" t="n">
        <f aca="false">D12</f>
        <v>126558.004643692</v>
      </c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298"/>
    </row>
    <row r="13" customFormat="false" ht="12.75" hidden="false" customHeight="false" outlineLevel="0" collapsed="false">
      <c r="A13" s="568" t="s">
        <v>839</v>
      </c>
      <c r="B13" s="403"/>
      <c r="C13" s="403"/>
      <c r="D13" s="902" t="n">
        <f aca="false">-Linefill</f>
        <v>-146</v>
      </c>
      <c r="E13" s="403"/>
      <c r="F13" s="903" t="n">
        <f aca="false">D13</f>
        <v>-146</v>
      </c>
      <c r="G13" s="403"/>
      <c r="H13" s="776" t="n">
        <f aca="false">F13</f>
        <v>-146</v>
      </c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298"/>
    </row>
    <row r="14" customFormat="false" ht="12.75" hidden="false" customHeight="false" outlineLevel="0" collapsed="false">
      <c r="A14" s="568" t="s">
        <v>349</v>
      </c>
      <c r="B14" s="403"/>
      <c r="C14" s="403"/>
      <c r="D14" s="902" t="n">
        <f aca="false">-IDC!AO56</f>
        <v>-0</v>
      </c>
      <c r="E14" s="403"/>
      <c r="F14" s="903" t="n">
        <f aca="false">D14</f>
        <v>-0</v>
      </c>
      <c r="G14" s="403"/>
      <c r="H14" s="776" t="n">
        <f aca="false">F14</f>
        <v>-0</v>
      </c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298"/>
    </row>
    <row r="15" customFormat="false" ht="12.75" hidden="false" customHeight="false" outlineLevel="0" collapsed="false">
      <c r="A15" s="568" t="s">
        <v>840</v>
      </c>
      <c r="B15" s="403"/>
      <c r="C15" s="403"/>
      <c r="D15" s="904" t="n">
        <f aca="false">-Wcap</f>
        <v>-0</v>
      </c>
      <c r="E15" s="403"/>
      <c r="F15" s="905" t="n">
        <f aca="false">D15</f>
        <v>-0</v>
      </c>
      <c r="G15" s="403"/>
      <c r="H15" s="906" t="n">
        <f aca="false">D15</f>
        <v>-0</v>
      </c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298"/>
    </row>
    <row r="16" customFormat="false" ht="12.75" hidden="false" customHeight="false" outlineLevel="0" collapsed="false">
      <c r="A16" s="572" t="s">
        <v>841</v>
      </c>
      <c r="B16" s="573"/>
      <c r="C16" s="573"/>
      <c r="D16" s="907" t="n">
        <f aca="false">SUM(D12:D15)</f>
        <v>126412.004643692</v>
      </c>
      <c r="E16" s="573"/>
      <c r="F16" s="908" t="n">
        <f aca="false">SUM(F12:F15)</f>
        <v>126412.004643692</v>
      </c>
      <c r="G16" s="573"/>
      <c r="H16" s="909" t="n">
        <f aca="false">SUM(H12:H15)</f>
        <v>126412.004643692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298"/>
    </row>
    <row r="17" customFormat="false" ht="12.75" hidden="false" customHeight="false" outlineLevel="0" collapsed="false">
      <c r="A17" s="37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298"/>
    </row>
    <row r="18" customFormat="false" ht="12.75" hidden="false" customHeight="false" outlineLevel="0" collapsed="false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298"/>
    </row>
    <row r="19" customFormat="false" ht="12.75" hidden="false" customHeight="false" outlineLevel="0" collapsed="false">
      <c r="A19" s="910" t="s">
        <v>842</v>
      </c>
      <c r="B19" s="911"/>
      <c r="C19" s="912" t="s">
        <v>843</v>
      </c>
      <c r="D19" s="912"/>
      <c r="E19" s="913" t="s">
        <v>844</v>
      </c>
      <c r="F19" s="913"/>
      <c r="G19" s="791"/>
      <c r="H19" s="914"/>
      <c r="I19" s="914"/>
      <c r="J19" s="914"/>
      <c r="K19" s="914"/>
      <c r="L19" s="914"/>
      <c r="M19" s="914"/>
      <c r="N19" s="914"/>
      <c r="O19" s="914"/>
      <c r="P19" s="914"/>
      <c r="Q19" s="914"/>
      <c r="R19" s="914"/>
      <c r="S19" s="914"/>
      <c r="T19" s="914"/>
      <c r="U19" s="914"/>
      <c r="V19" s="914"/>
      <c r="W19" s="914"/>
      <c r="X19" s="914"/>
      <c r="Y19" s="914"/>
      <c r="Z19" s="914"/>
      <c r="AA19" s="914"/>
      <c r="AB19" s="914"/>
      <c r="AC19" s="915"/>
      <c r="AD19" s="39"/>
    </row>
    <row r="20" customFormat="false" ht="12.75" hidden="false" customHeight="false" outlineLevel="0" collapsed="false">
      <c r="A20" s="37" t="s">
        <v>845</v>
      </c>
      <c r="B20" s="39"/>
      <c r="C20" s="844" t="s">
        <v>846</v>
      </c>
      <c r="D20" s="844"/>
      <c r="E20" s="916" t="s">
        <v>847</v>
      </c>
      <c r="F20" s="916"/>
      <c r="G20" s="39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304"/>
      <c r="AD20" s="39"/>
    </row>
    <row r="21" customFormat="false" ht="12.75" hidden="false" customHeight="false" outlineLevel="0" collapsed="false">
      <c r="A21" s="37"/>
      <c r="B21" s="39" t="s">
        <v>848</v>
      </c>
      <c r="C21" s="917" t="n">
        <f aca="false">Assm!$K$44</f>
        <v>20</v>
      </c>
      <c r="D21" s="917"/>
      <c r="E21" s="918" t="n">
        <f aca="false">Assm!$J$44</f>
        <v>126412.004643692</v>
      </c>
      <c r="F21" s="918"/>
      <c r="G21" s="39"/>
      <c r="H21" s="61" t="n">
        <f aca="false">IF($C21&lt;Term,IF(H$6&gt;=$C21,$E21-SUM($G21:G21),SLN($E21,0,$C21)*H$9/12),$E21/Term*H$9/12)</f>
        <v>0</v>
      </c>
      <c r="I21" s="61" t="n">
        <f aca="false">IF($C21&lt;Term,IF(I$6&gt;=$C21,$E21-SUM($G21:H21),SLN($E21,0,$C21)*I$9/12),$E21/Term*I$9/12)</f>
        <v>0</v>
      </c>
      <c r="J21" s="61" t="n">
        <f aca="false">IF($C21&lt;Term,IF(J$6&gt;=$C21,$E21-SUM($G21:I21),SLN($E21,0,$C21)*J$9/12),$E21/Term*J$9/12)</f>
        <v>5267.16686015385</v>
      </c>
      <c r="K21" s="61" t="n">
        <f aca="false">IF($C21&lt;Term,IF(K$6&gt;=$C21,$E21-SUM($G21:J21),SLN($E21,0,$C21)*K$9/12),$E21/Term*K$9/12)</f>
        <v>6320.60023218462</v>
      </c>
      <c r="L21" s="61" t="n">
        <f aca="false">IF($C21&lt;Term,IF(L$6&gt;=$C21,$E21-SUM($G21:K21),SLN($E21,0,$C21)*L$9/12),$E21/Term*L$9/12)</f>
        <v>6320.60023218462</v>
      </c>
      <c r="M21" s="61" t="n">
        <f aca="false">IF($C21&lt;Term,IF(M$6&gt;=$C21,$E21-SUM($G21:L21),SLN($E21,0,$C21)*M$9/12),$E21/Term*M$9/12)</f>
        <v>6320.60023218462</v>
      </c>
      <c r="N21" s="61" t="n">
        <f aca="false">IF($C21&lt;Term,IF(N$6&gt;=$C21,$E21-SUM($G21:M21),SLN($E21,0,$C21)*N$9/12),$E21/Term*N$9/12)</f>
        <v>6320.60023218462</v>
      </c>
      <c r="O21" s="61" t="n">
        <f aca="false">IF($C21&lt;Term,IF(O$6&gt;=$C21,$E21-SUM($G21:N21),SLN($E21,0,$C21)*O$9/12),$E21/Term*O$9/12)</f>
        <v>6320.60023218462</v>
      </c>
      <c r="P21" s="61" t="n">
        <f aca="false">IF($C21&lt;Term,IF(P$6&gt;=$C21,$E21-SUM($G21:O21),SLN($E21,0,$C21)*P$9/12),$E21/Term*P$9/12)</f>
        <v>6320.60023218462</v>
      </c>
      <c r="Q21" s="61" t="n">
        <f aca="false">IF($C21&lt;Term,IF(Q$6&gt;=$C21,$E21-SUM($G21:P21),SLN($E21,0,$C21)*Q$9/12),$E21/Term*Q$9/12)</f>
        <v>6320.60023218462</v>
      </c>
      <c r="R21" s="61" t="n">
        <f aca="false">IF($C21&lt;Term,IF(R$6&gt;=$C21,$E21-SUM($G21:Q21),SLN($E21,0,$C21)*R$9/12),$E21/Term*R$9/12)</f>
        <v>6320.60023218462</v>
      </c>
      <c r="S21" s="61" t="n">
        <f aca="false">IF($C21&lt;Term,IF(S$6&gt;=$C21,$E21-SUM($G21:R21),SLN($E21,0,$C21)*S$9/12),$E21/Term*S$9/12)</f>
        <v>6320.60023218462</v>
      </c>
      <c r="T21" s="61" t="n">
        <f aca="false">IF($C21&lt;Term,IF(T$6&gt;=$C21,$E21-SUM($G21:S21),SLN($E21,0,$C21)*T$9/12),$E21/Term*T$9/12)</f>
        <v>6320.60023218462</v>
      </c>
      <c r="U21" s="61" t="n">
        <f aca="false">IF($C21&lt;Term,IF(U$6&gt;=$C21,$E21-SUM($G21:T21),SLN($E21,0,$C21)*U$9/12),$E21/Term*U$9/12)</f>
        <v>6320.60023218462</v>
      </c>
      <c r="V21" s="61" t="n">
        <f aca="false">IF($C21&lt;Term,IF(V$6&gt;=$C21,$E21-SUM($G21:U21),SLN($E21,0,$C21)*V$9/12),$E21/Term*V$9/12)</f>
        <v>6320.60023218462</v>
      </c>
      <c r="W21" s="61" t="n">
        <f aca="false">IF($C21&lt;Term,IF(W$6&gt;=$C21,$E21-SUM($G21:V21),SLN($E21,0,$C21)*W$9/12),$E21/Term*W$9/12)</f>
        <v>6320.60023218462</v>
      </c>
      <c r="X21" s="61" t="n">
        <f aca="false">IF($C21&lt;Term,IF(X$6&gt;=$C21,$E21-SUM($G21:W21),SLN($E21,0,$C21)*X$9/12),$E21/Term*X$9/12)</f>
        <v>6320.60023218462</v>
      </c>
      <c r="Y21" s="61" t="n">
        <f aca="false">IF($C21&lt;Term,IF(Y$6&gt;=$C21,$E21-SUM($G21:X21),SLN($E21,0,$C21)*Y$9/12),$E21/Term*Y$9/12)</f>
        <v>6320.60023218462</v>
      </c>
      <c r="Z21" s="61" t="n">
        <f aca="false">IF($C21&lt;Term,IF(Z$6&gt;=$C21,$E21-SUM($G21:Y21),SLN($E21,0,$C21)*Z$9/12),$E21/Term*Z$9/12)</f>
        <v>6320.60023218462</v>
      </c>
      <c r="AA21" s="61" t="n">
        <f aca="false">IF($C21&lt;Term,IF(AA$6&gt;=$C21,$E21-SUM($G21:Z21),SLN($E21,0,$C21)*AA$9/12),$E21/Term*AA$9/12)</f>
        <v>6320.60023218462</v>
      </c>
      <c r="AB21" s="61" t="n">
        <f aca="false">IF($C21&lt;Term,IF(AB$6&gt;=$C21,$E21-SUM($G21:AA21),SLN($E21,0,$C21)*AB$9/12),$E21/Term*AB$9/12)</f>
        <v>2106.86674406154</v>
      </c>
      <c r="AC21" s="304" t="n">
        <f aca="false">SUM(H21:AB21)</f>
        <v>114824.237551354</v>
      </c>
      <c r="AD21" s="39"/>
    </row>
    <row r="22" customFormat="false" ht="12.75" hidden="false" customHeight="false" outlineLevel="0" collapsed="false">
      <c r="A22" s="37"/>
      <c r="B22" s="39" t="s">
        <v>849</v>
      </c>
      <c r="C22" s="719"/>
      <c r="D22" s="835"/>
      <c r="E22" s="39"/>
      <c r="F22" s="835"/>
      <c r="G22" s="39"/>
      <c r="H22" s="61" t="n">
        <f aca="false">SUM($H21:H21)</f>
        <v>0</v>
      </c>
      <c r="I22" s="61" t="n">
        <f aca="false">SUM($H21:I21)</f>
        <v>0</v>
      </c>
      <c r="J22" s="61" t="n">
        <f aca="false">SUM($H21:J21)</f>
        <v>5267.16686015385</v>
      </c>
      <c r="K22" s="61" t="n">
        <f aca="false">SUM($H21:K21)</f>
        <v>11587.7670923385</v>
      </c>
      <c r="L22" s="61" t="n">
        <f aca="false">SUM($H21:L21)</f>
        <v>17908.3673245231</v>
      </c>
      <c r="M22" s="61" t="n">
        <f aca="false">SUM($H21:M21)</f>
        <v>24228.9675567077</v>
      </c>
      <c r="N22" s="61" t="n">
        <f aca="false">SUM($H21:N21)</f>
        <v>30549.5677888923</v>
      </c>
      <c r="O22" s="61" t="n">
        <f aca="false">SUM($H21:O21)</f>
        <v>36870.168021077</v>
      </c>
      <c r="P22" s="61" t="n">
        <f aca="false">SUM($H21:P21)</f>
        <v>43190.7682532616</v>
      </c>
      <c r="Q22" s="61" t="n">
        <f aca="false">SUM($H21:Q21)</f>
        <v>49511.3684854462</v>
      </c>
      <c r="R22" s="61" t="n">
        <f aca="false">SUM($H21:R21)</f>
        <v>55831.9687176308</v>
      </c>
      <c r="S22" s="61" t="n">
        <f aca="false">SUM($H21:S21)</f>
        <v>62152.5689498155</v>
      </c>
      <c r="T22" s="61" t="n">
        <f aca="false">SUM($H21:T21)</f>
        <v>68473.1691820001</v>
      </c>
      <c r="U22" s="61" t="n">
        <f aca="false">SUM($H21:U21)</f>
        <v>74793.7694141847</v>
      </c>
      <c r="V22" s="61" t="n">
        <f aca="false">SUM($H21:V21)</f>
        <v>81114.3696463693</v>
      </c>
      <c r="W22" s="61" t="n">
        <f aca="false">SUM($H21:W21)</f>
        <v>87434.9698785539</v>
      </c>
      <c r="X22" s="61" t="n">
        <f aca="false">SUM($H21:X21)</f>
        <v>93755.5701107386</v>
      </c>
      <c r="Y22" s="61" t="n">
        <f aca="false">SUM($H21:Y21)</f>
        <v>100076.170342923</v>
      </c>
      <c r="Z22" s="61" t="n">
        <f aca="false">SUM($H21:Z21)</f>
        <v>106396.770575108</v>
      </c>
      <c r="AA22" s="61" t="n">
        <f aca="false">SUM($H21:AA21)</f>
        <v>112717.370807292</v>
      </c>
      <c r="AB22" s="61" t="n">
        <f aca="false">SUM($H21:AB21)</f>
        <v>114824.237551354</v>
      </c>
      <c r="AC22" s="304"/>
      <c r="AD22" s="39"/>
    </row>
    <row r="23" customFormat="false" ht="12.75" hidden="false" customHeight="false" outlineLevel="0" collapsed="false">
      <c r="A23" s="37"/>
      <c r="B23" s="39"/>
      <c r="C23" s="719"/>
      <c r="D23" s="835"/>
      <c r="E23" s="39"/>
      <c r="F23" s="835"/>
      <c r="G23" s="39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304"/>
      <c r="AD23" s="39"/>
    </row>
    <row r="24" customFormat="false" ht="12.75" hidden="false" customHeight="false" outlineLevel="0" collapsed="false">
      <c r="A24" s="37"/>
      <c r="B24" s="39" t="s">
        <v>850</v>
      </c>
      <c r="C24" s="719"/>
      <c r="D24" s="835"/>
      <c r="E24" s="39"/>
      <c r="F24" s="835"/>
      <c r="G24" s="39"/>
      <c r="H24" s="98" t="n">
        <v>0</v>
      </c>
      <c r="I24" s="61" t="n">
        <f aca="false">H27</f>
        <v>0</v>
      </c>
      <c r="J24" s="61" t="n">
        <f aca="false">I27</f>
        <v>0</v>
      </c>
      <c r="K24" s="61" t="n">
        <f aca="false">J27</f>
        <v>121144.837783539</v>
      </c>
      <c r="L24" s="61" t="n">
        <f aca="false">K27</f>
        <v>114824.237551354</v>
      </c>
      <c r="M24" s="61" t="n">
        <f aca="false">L27</f>
        <v>108503.637319169</v>
      </c>
      <c r="N24" s="61" t="n">
        <f aca="false">M27</f>
        <v>102183.037086985</v>
      </c>
      <c r="O24" s="61" t="n">
        <f aca="false">N27</f>
        <v>95862.4368548001</v>
      </c>
      <c r="P24" s="61" t="n">
        <f aca="false">O27</f>
        <v>89541.8366226155</v>
      </c>
      <c r="Q24" s="61" t="n">
        <f aca="false">P27</f>
        <v>83221.2363904309</v>
      </c>
      <c r="R24" s="61" t="n">
        <f aca="false">Q27</f>
        <v>76900.6361582463</v>
      </c>
      <c r="S24" s="61" t="n">
        <f aca="false">R27</f>
        <v>70580.0359260617</v>
      </c>
      <c r="T24" s="61" t="n">
        <f aca="false">S27</f>
        <v>64259.435693877</v>
      </c>
      <c r="U24" s="61" t="n">
        <f aca="false">T27</f>
        <v>57938.8354616924</v>
      </c>
      <c r="V24" s="61" t="n">
        <f aca="false">U27</f>
        <v>51618.2352295078</v>
      </c>
      <c r="W24" s="61" t="n">
        <f aca="false">V27</f>
        <v>45297.6349973232</v>
      </c>
      <c r="X24" s="61" t="n">
        <f aca="false">W27</f>
        <v>38977.0347651385</v>
      </c>
      <c r="Y24" s="61" t="n">
        <f aca="false">X27</f>
        <v>32656.4345329539</v>
      </c>
      <c r="Z24" s="61" t="n">
        <f aca="false">Y27</f>
        <v>26335.8343007693</v>
      </c>
      <c r="AA24" s="61" t="n">
        <f aca="false">Z27</f>
        <v>20015.2340685847</v>
      </c>
      <c r="AB24" s="61" t="n">
        <f aca="false">AA27</f>
        <v>13694.6338364</v>
      </c>
      <c r="AC24" s="304" t="n">
        <f aca="false">H24</f>
        <v>0</v>
      </c>
      <c r="AD24" s="39"/>
    </row>
    <row r="25" customFormat="false" ht="12.75" hidden="false" customHeight="false" outlineLevel="0" collapsed="false">
      <c r="A25" s="37"/>
      <c r="B25" s="39" t="s">
        <v>851</v>
      </c>
      <c r="C25" s="719"/>
      <c r="D25" s="835"/>
      <c r="E25" s="39"/>
      <c r="F25" s="835"/>
      <c r="G25" s="39"/>
      <c r="H25" s="61" t="n">
        <f aca="false">IF(H$7=YEAR(Startops1),$E21,0)</f>
        <v>0</v>
      </c>
      <c r="I25" s="61" t="n">
        <f aca="false">IF(I$7=YEAR(Startops1),$E21,0)</f>
        <v>0</v>
      </c>
      <c r="J25" s="61" t="n">
        <f aca="false">IF(J$7=YEAR(Startops1),$E21,0)</f>
        <v>126412.004643692</v>
      </c>
      <c r="K25" s="61" t="n">
        <f aca="false">IF(K$7=YEAR(Startops1),$E21,0)</f>
        <v>0</v>
      </c>
      <c r="L25" s="61" t="n">
        <f aca="false">IF(L$7=YEAR(Startops1),$E21,0)</f>
        <v>0</v>
      </c>
      <c r="M25" s="61" t="n">
        <f aca="false">IF(M$7=YEAR(Startops1),$E21,0)</f>
        <v>0</v>
      </c>
      <c r="N25" s="61" t="n">
        <f aca="false">IF(N$7=YEAR(Startops1),$E21,0)</f>
        <v>0</v>
      </c>
      <c r="O25" s="61" t="n">
        <f aca="false">IF(O$7=YEAR(Startops1),$E21,0)</f>
        <v>0</v>
      </c>
      <c r="P25" s="61" t="n">
        <f aca="false">IF(P$7=YEAR(Startops1),$E21,0)</f>
        <v>0</v>
      </c>
      <c r="Q25" s="61" t="n">
        <f aca="false">IF(Q$7=YEAR(Startops1),$E21,0)</f>
        <v>0</v>
      </c>
      <c r="R25" s="61" t="n">
        <f aca="false">IF(R$7=YEAR(Startops1),$E21,0)</f>
        <v>0</v>
      </c>
      <c r="S25" s="61" t="n">
        <f aca="false">IF(S$7=YEAR(Startops1),$E21,0)</f>
        <v>0</v>
      </c>
      <c r="T25" s="61" t="n">
        <f aca="false">IF(T$7=YEAR(Startops1),$E21,0)</f>
        <v>0</v>
      </c>
      <c r="U25" s="61" t="n">
        <f aca="false">IF(U$7=YEAR(Startops1),$E21,0)</f>
        <v>0</v>
      </c>
      <c r="V25" s="61" t="n">
        <f aca="false">IF(V$7=YEAR(Startops1),$E21,0)</f>
        <v>0</v>
      </c>
      <c r="W25" s="61" t="n">
        <f aca="false">IF(W$7=YEAR(Startops1),$E21,0)</f>
        <v>0</v>
      </c>
      <c r="X25" s="61" t="n">
        <f aca="false">IF(X$7=YEAR(Startops1),$E21,0)</f>
        <v>0</v>
      </c>
      <c r="Y25" s="61" t="n">
        <f aca="false">IF(Y$7=YEAR(Startops1),$E21,0)</f>
        <v>0</v>
      </c>
      <c r="Z25" s="61" t="n">
        <f aca="false">IF(Z$7=YEAR(Startops1),$E21,0)</f>
        <v>0</v>
      </c>
      <c r="AA25" s="61" t="n">
        <f aca="false">IF(AA$7=YEAR(Startops1),$E21,0)</f>
        <v>0</v>
      </c>
      <c r="AB25" s="61" t="n">
        <f aca="false">IF(AB$7=YEAR(Startops1),$E21,0)</f>
        <v>0</v>
      </c>
      <c r="AC25" s="304" t="n">
        <f aca="false">SUM(H25:AB25)</f>
        <v>126412.004643692</v>
      </c>
      <c r="AD25" s="39"/>
    </row>
    <row r="26" customFormat="false" ht="12.75" hidden="false" customHeight="false" outlineLevel="0" collapsed="false">
      <c r="A26" s="37"/>
      <c r="B26" s="39" t="s">
        <v>852</v>
      </c>
      <c r="C26" s="719"/>
      <c r="D26" s="835"/>
      <c r="E26" s="39"/>
      <c r="F26" s="835"/>
      <c r="G26" s="39"/>
      <c r="H26" s="306" t="n">
        <f aca="false">-H21</f>
        <v>-0</v>
      </c>
      <c r="I26" s="306" t="n">
        <f aca="false">-I21</f>
        <v>-0</v>
      </c>
      <c r="J26" s="306" t="n">
        <f aca="false">-J21</f>
        <v>-5267.16686015385</v>
      </c>
      <c r="K26" s="306" t="n">
        <f aca="false">-K21</f>
        <v>-6320.60023218462</v>
      </c>
      <c r="L26" s="306" t="n">
        <f aca="false">-L21</f>
        <v>-6320.60023218462</v>
      </c>
      <c r="M26" s="306" t="n">
        <f aca="false">-M21</f>
        <v>-6320.60023218462</v>
      </c>
      <c r="N26" s="306" t="n">
        <f aca="false">-N21</f>
        <v>-6320.60023218462</v>
      </c>
      <c r="O26" s="306" t="n">
        <f aca="false">-O21</f>
        <v>-6320.60023218462</v>
      </c>
      <c r="P26" s="306" t="n">
        <f aca="false">-P21</f>
        <v>-6320.60023218462</v>
      </c>
      <c r="Q26" s="306" t="n">
        <f aca="false">-Q21</f>
        <v>-6320.60023218462</v>
      </c>
      <c r="R26" s="306" t="n">
        <f aca="false">-R21</f>
        <v>-6320.60023218462</v>
      </c>
      <c r="S26" s="306" t="n">
        <f aca="false">-S21</f>
        <v>-6320.60023218462</v>
      </c>
      <c r="T26" s="306" t="n">
        <f aca="false">-T21</f>
        <v>-6320.60023218462</v>
      </c>
      <c r="U26" s="306" t="n">
        <f aca="false">-U21</f>
        <v>-6320.60023218462</v>
      </c>
      <c r="V26" s="306" t="n">
        <f aca="false">-V21</f>
        <v>-6320.60023218462</v>
      </c>
      <c r="W26" s="306" t="n">
        <f aca="false">-W21</f>
        <v>-6320.60023218462</v>
      </c>
      <c r="X26" s="306" t="n">
        <f aca="false">-X21</f>
        <v>-6320.60023218462</v>
      </c>
      <c r="Y26" s="306" t="n">
        <f aca="false">-Y21</f>
        <v>-6320.60023218462</v>
      </c>
      <c r="Z26" s="306" t="n">
        <f aca="false">-Z21</f>
        <v>-6320.60023218462</v>
      </c>
      <c r="AA26" s="306" t="n">
        <f aca="false">-AA21</f>
        <v>-6320.60023218462</v>
      </c>
      <c r="AB26" s="306" t="n">
        <f aca="false">-AB21</f>
        <v>-2106.86674406154</v>
      </c>
      <c r="AC26" s="307" t="n">
        <f aca="false">SUM(H26:AB26)</f>
        <v>-114824.237551354</v>
      </c>
      <c r="AD26" s="39"/>
    </row>
    <row r="27" customFormat="false" ht="12.75" hidden="false" customHeight="false" outlineLevel="0" collapsed="false">
      <c r="A27" s="590"/>
      <c r="B27" s="466" t="s">
        <v>853</v>
      </c>
      <c r="C27" s="727"/>
      <c r="D27" s="919"/>
      <c r="E27" s="466"/>
      <c r="F27" s="919"/>
      <c r="G27" s="466"/>
      <c r="H27" s="532" t="n">
        <f aca="false">SUM(H24:H26)</f>
        <v>0</v>
      </c>
      <c r="I27" s="532" t="n">
        <f aca="false">SUM(I24:I26)</f>
        <v>0</v>
      </c>
      <c r="J27" s="532" t="n">
        <f aca="false">SUM(J24:J26)</f>
        <v>121144.837783539</v>
      </c>
      <c r="K27" s="532" t="n">
        <f aca="false">SUM(K24:K26)</f>
        <v>114824.237551354</v>
      </c>
      <c r="L27" s="532" t="n">
        <f aca="false">SUM(L24:L26)</f>
        <v>108503.637319169</v>
      </c>
      <c r="M27" s="532" t="n">
        <f aca="false">SUM(M24:M26)</f>
        <v>102183.037086985</v>
      </c>
      <c r="N27" s="532" t="n">
        <f aca="false">SUM(N24:N26)</f>
        <v>95862.4368548001</v>
      </c>
      <c r="O27" s="532" t="n">
        <f aca="false">SUM(O24:O26)</f>
        <v>89541.8366226155</v>
      </c>
      <c r="P27" s="532" t="n">
        <f aca="false">SUM(P24:P26)</f>
        <v>83221.2363904309</v>
      </c>
      <c r="Q27" s="532" t="n">
        <f aca="false">SUM(Q24:Q26)</f>
        <v>76900.6361582463</v>
      </c>
      <c r="R27" s="532" t="n">
        <f aca="false">SUM(R24:R26)</f>
        <v>70580.0359260617</v>
      </c>
      <c r="S27" s="532" t="n">
        <f aca="false">SUM(S24:S26)</f>
        <v>64259.435693877</v>
      </c>
      <c r="T27" s="532" t="n">
        <f aca="false">SUM(T24:T26)</f>
        <v>57938.8354616924</v>
      </c>
      <c r="U27" s="532" t="n">
        <f aca="false">SUM(U24:U26)</f>
        <v>51618.2352295078</v>
      </c>
      <c r="V27" s="532" t="n">
        <f aca="false">SUM(V24:V26)</f>
        <v>45297.6349973232</v>
      </c>
      <c r="W27" s="532" t="n">
        <f aca="false">SUM(W24:W26)</f>
        <v>38977.0347651385</v>
      </c>
      <c r="X27" s="532" t="n">
        <f aca="false">SUM(X24:X26)</f>
        <v>32656.4345329539</v>
      </c>
      <c r="Y27" s="532" t="n">
        <f aca="false">SUM(Y24:Y26)</f>
        <v>26335.8343007693</v>
      </c>
      <c r="Z27" s="532" t="n">
        <f aca="false">SUM(Z24:Z26)</f>
        <v>20015.2340685847</v>
      </c>
      <c r="AA27" s="532" t="n">
        <f aca="false">SUM(AA24:AA26)</f>
        <v>13694.6338364</v>
      </c>
      <c r="AB27" s="532" t="n">
        <f aca="false">SUM(AB24:AB26)</f>
        <v>11587.7670923385</v>
      </c>
      <c r="AC27" s="888" t="n">
        <f aca="false">SUM(AC24:AC26)</f>
        <v>11587.7670923385</v>
      </c>
      <c r="AD27" s="39"/>
    </row>
    <row r="28" customFormat="false" ht="12.75" hidden="false" customHeight="false" outlineLevel="0" collapsed="false">
      <c r="A28" s="920"/>
      <c r="B28" s="39"/>
      <c r="C28" s="719"/>
      <c r="D28" s="835"/>
      <c r="E28" s="39"/>
      <c r="F28" s="835"/>
      <c r="G28" s="39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304"/>
      <c r="AD28" s="39"/>
    </row>
    <row r="29" customFormat="false" ht="12.75" hidden="false" customHeight="false" outlineLevel="0" collapsed="false">
      <c r="A29" s="303" t="s">
        <v>854</v>
      </c>
      <c r="B29" s="38"/>
      <c r="C29" s="836" t="s">
        <v>843</v>
      </c>
      <c r="D29" s="836"/>
      <c r="E29" s="921" t="s">
        <v>844</v>
      </c>
      <c r="F29" s="921"/>
      <c r="G29" s="39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304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</row>
    <row r="30" customFormat="false" ht="12.75" hidden="false" customHeight="false" outlineLevel="0" collapsed="false">
      <c r="A30" s="37" t="s">
        <v>855</v>
      </c>
      <c r="B30" s="39"/>
      <c r="C30" s="844" t="s">
        <v>846</v>
      </c>
      <c r="D30" s="844"/>
      <c r="E30" s="916" t="s">
        <v>847</v>
      </c>
      <c r="F30" s="916"/>
      <c r="G30" s="39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304"/>
      <c r="AD30" s="39"/>
    </row>
    <row r="31" customFormat="false" ht="12.75" hidden="false" customHeight="false" outlineLevel="0" collapsed="false">
      <c r="A31" s="37"/>
      <c r="B31" s="39" t="s">
        <v>856</v>
      </c>
      <c r="C31" s="917" t="n">
        <f aca="false">Assm!$K$45</f>
        <v>20</v>
      </c>
      <c r="D31" s="917"/>
      <c r="E31" s="918" t="n">
        <f aca="false">Assm!$J$45</f>
        <v>126412.004643692</v>
      </c>
      <c r="F31" s="918"/>
      <c r="G31" s="39"/>
      <c r="H31" s="61" t="n">
        <f aca="false">IF($C31&lt;Term,IF(H$6&gt;=$C31,$E31-SUM($G31:G31),SLN($E31,0,$C31)*H$9/12),$E31/Term*H$9/12)</f>
        <v>0</v>
      </c>
      <c r="I31" s="61" t="n">
        <f aca="false">IF($C31&lt;Term,IF(I$6&gt;=$C31,$E31-SUM($G31:H31),SLN($E31,0,$C31)*I$9/12),$E31/Term*I$9/12)</f>
        <v>0</v>
      </c>
      <c r="J31" s="61" t="n">
        <f aca="false">IF($C31&lt;Term,IF(J$6&gt;=$C31,$E31-SUM($G31:I31),SLN($E31,0,$C31)*J$9/12),$E31/Term*J$9/12)</f>
        <v>5267.16686015385</v>
      </c>
      <c r="K31" s="61" t="n">
        <f aca="false">IF($C31&lt;Term,IF(K$6&gt;=$C31,$E31-SUM($G31:J31),SLN($E31,0,$C31)*K$9/12),$E31/Term*K$9/12)</f>
        <v>6320.60023218462</v>
      </c>
      <c r="L31" s="61" t="n">
        <f aca="false">IF($C31&lt;Term,IF(L$6&gt;=$C31,$E31-SUM($G31:K31),SLN($E31,0,$C31)*L$9/12),$E31/Term*L$9/12)</f>
        <v>6320.60023218462</v>
      </c>
      <c r="M31" s="61" t="n">
        <f aca="false">IF($C31&lt;Term,IF(M$6&gt;=$C31,$E31-SUM($G31:L31),SLN($E31,0,$C31)*M$9/12),$E31/Term*M$9/12)</f>
        <v>6320.60023218462</v>
      </c>
      <c r="N31" s="61" t="n">
        <f aca="false">IF($C31&lt;Term,IF(N$6&gt;=$C31,$E31-SUM($G31:M31),SLN($E31,0,$C31)*N$9/12),$E31/Term*N$9/12)</f>
        <v>6320.60023218462</v>
      </c>
      <c r="O31" s="61" t="n">
        <f aca="false">IF($C31&lt;Term,IF(O$6&gt;=$C31,$E31-SUM($G31:N31),SLN($E31,0,$C31)*O$9/12),$E31/Term*O$9/12)</f>
        <v>6320.60023218462</v>
      </c>
      <c r="P31" s="61" t="n">
        <f aca="false">IF($C31&lt;Term,IF(P$6&gt;=$C31,$E31-SUM($G31:O31),SLN($E31,0,$C31)*P$9/12),$E31/Term*P$9/12)</f>
        <v>6320.60023218462</v>
      </c>
      <c r="Q31" s="61" t="n">
        <f aca="false">IF($C31&lt;Term,IF(Q$6&gt;=$C31,$E31-SUM($G31:P31),SLN($E31,0,$C31)*Q$9/12),$E31/Term*Q$9/12)</f>
        <v>6320.60023218462</v>
      </c>
      <c r="R31" s="61" t="n">
        <f aca="false">IF($C31&lt;Term,IF(R$6&gt;=$C31,$E31-SUM($G31:Q31),SLN($E31,0,$C31)*R$9/12),$E31/Term*R$9/12)</f>
        <v>6320.60023218462</v>
      </c>
      <c r="S31" s="61" t="n">
        <f aca="false">IF($C31&lt;Term,IF(S$6&gt;=$C31,$E31-SUM($G31:R31),SLN($E31,0,$C31)*S$9/12),$E31/Term*S$9/12)</f>
        <v>6320.60023218462</v>
      </c>
      <c r="T31" s="61" t="n">
        <f aca="false">IF($C31&lt;Term,IF(T$6&gt;=$C31,$E31-SUM($G31:S31),SLN($E31,0,$C31)*T$9/12),$E31/Term*T$9/12)</f>
        <v>6320.60023218462</v>
      </c>
      <c r="U31" s="61" t="n">
        <f aca="false">IF($C31&lt;Term,IF(U$6&gt;=$C31,$E31-SUM($G31:T31),SLN($E31,0,$C31)*U$9/12),$E31/Term*U$9/12)</f>
        <v>6320.60023218462</v>
      </c>
      <c r="V31" s="61" t="n">
        <f aca="false">IF($C31&lt;Term,IF(V$6&gt;=$C31,$E31-SUM($G31:U31),SLN($E31,0,$C31)*V$9/12),$E31/Term*V$9/12)</f>
        <v>6320.60023218462</v>
      </c>
      <c r="W31" s="61" t="n">
        <f aca="false">IF($C31&lt;Term,IF(W$6&gt;=$C31,$E31-SUM($G31:V31),SLN($E31,0,$C31)*W$9/12),$E31/Term*W$9/12)</f>
        <v>6320.60023218462</v>
      </c>
      <c r="X31" s="61" t="n">
        <f aca="false">IF($C31&lt;Term,IF(X$6&gt;=$C31,$E31-SUM($G31:W31),SLN($E31,0,$C31)*X$9/12),$E31/Term*X$9/12)</f>
        <v>6320.60023218462</v>
      </c>
      <c r="Y31" s="61" t="n">
        <f aca="false">IF($C31&lt;Term,IF(Y$6&gt;=$C31,$E31-SUM($G31:X31),SLN($E31,0,$C31)*Y$9/12),$E31/Term*Y$9/12)</f>
        <v>6320.60023218462</v>
      </c>
      <c r="Z31" s="61" t="n">
        <f aca="false">IF($C31&lt;Term,IF(Z$6&gt;=$C31,$E31-SUM($G31:Y31),SLN($E31,0,$C31)*Z$9/12),$E31/Term*Z$9/12)</f>
        <v>6320.60023218462</v>
      </c>
      <c r="AA31" s="61" t="n">
        <f aca="false">IF($C31&lt;Term,IF(AA$6&gt;=$C31,$E31-SUM($G31:Z31),SLN($E31,0,$C31)*AA$9/12),$E31/Term*AA$9/12)</f>
        <v>6320.60023218462</v>
      </c>
      <c r="AB31" s="61" t="n">
        <f aca="false">IF($C31&lt;Term,IF(AB$6&gt;=$C31,$E31-SUM($G31:AA31),SLN($E31,0,$C31)*AB$9/12),$E31/Term*AB$9/12)</f>
        <v>2106.86674406154</v>
      </c>
      <c r="AC31" s="304" t="n">
        <f aca="false">SUM(H31:AB31)</f>
        <v>114824.237551354</v>
      </c>
      <c r="AD31" s="39"/>
    </row>
    <row r="32" customFormat="false" ht="12.75" hidden="false" customHeight="false" outlineLevel="0" collapsed="false">
      <c r="A32" s="37"/>
      <c r="B32" s="39" t="s">
        <v>857</v>
      </c>
      <c r="C32" s="719"/>
      <c r="D32" s="835"/>
      <c r="E32" s="39"/>
      <c r="F32" s="835"/>
      <c r="G32" s="39"/>
      <c r="H32" s="61" t="n">
        <f aca="false">SUM($H31:H31)</f>
        <v>0</v>
      </c>
      <c r="I32" s="61" t="n">
        <f aca="false">SUM($H31:I31)</f>
        <v>0</v>
      </c>
      <c r="J32" s="61" t="n">
        <f aca="false">SUM($H31:J31)</f>
        <v>5267.16686015385</v>
      </c>
      <c r="K32" s="61" t="n">
        <f aca="false">SUM($H31:K31)</f>
        <v>11587.7670923385</v>
      </c>
      <c r="L32" s="61" t="n">
        <f aca="false">SUM($H31:L31)</f>
        <v>17908.3673245231</v>
      </c>
      <c r="M32" s="61" t="n">
        <f aca="false">SUM($H31:M31)</f>
        <v>24228.9675567077</v>
      </c>
      <c r="N32" s="61" t="n">
        <f aca="false">SUM($H31:N31)</f>
        <v>30549.5677888923</v>
      </c>
      <c r="O32" s="61" t="n">
        <f aca="false">SUM($H31:O31)</f>
        <v>36870.168021077</v>
      </c>
      <c r="P32" s="61" t="n">
        <f aca="false">SUM($H31:P31)</f>
        <v>43190.7682532616</v>
      </c>
      <c r="Q32" s="61" t="n">
        <f aca="false">SUM($H31:Q31)</f>
        <v>49511.3684854462</v>
      </c>
      <c r="R32" s="61" t="n">
        <f aca="false">SUM($H31:R31)</f>
        <v>55831.9687176308</v>
      </c>
      <c r="S32" s="61" t="n">
        <f aca="false">SUM($H31:S31)</f>
        <v>62152.5689498155</v>
      </c>
      <c r="T32" s="61" t="n">
        <f aca="false">SUM($H31:T31)</f>
        <v>68473.1691820001</v>
      </c>
      <c r="U32" s="61" t="n">
        <f aca="false">SUM($H31:U31)</f>
        <v>74793.7694141847</v>
      </c>
      <c r="V32" s="61" t="n">
        <f aca="false">SUM($H31:V31)</f>
        <v>81114.3696463693</v>
      </c>
      <c r="W32" s="61" t="n">
        <f aca="false">SUM($H31:W31)</f>
        <v>87434.9698785539</v>
      </c>
      <c r="X32" s="61" t="n">
        <f aca="false">SUM($H31:X31)</f>
        <v>93755.5701107386</v>
      </c>
      <c r="Y32" s="61" t="n">
        <f aca="false">SUM($H31:Y31)</f>
        <v>100076.170342923</v>
      </c>
      <c r="Z32" s="61" t="n">
        <f aca="false">SUM($H31:Z31)</f>
        <v>106396.770575108</v>
      </c>
      <c r="AA32" s="61" t="n">
        <f aca="false">SUM($H31:AA31)</f>
        <v>112717.370807292</v>
      </c>
      <c r="AB32" s="61" t="n">
        <f aca="false">SUM($H31:AB31)</f>
        <v>114824.237551354</v>
      </c>
      <c r="AC32" s="304"/>
      <c r="AD32" s="39"/>
    </row>
    <row r="33" customFormat="false" ht="12.75" hidden="false" customHeight="false" outlineLevel="0" collapsed="false">
      <c r="A33" s="37"/>
      <c r="B33" s="39"/>
      <c r="C33" s="719"/>
      <c r="D33" s="835"/>
      <c r="E33" s="39"/>
      <c r="F33" s="835"/>
      <c r="G33" s="39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304"/>
      <c r="AD33" s="39"/>
    </row>
    <row r="34" customFormat="false" ht="12.75" hidden="false" customHeight="false" outlineLevel="0" collapsed="false">
      <c r="A34" s="37"/>
      <c r="B34" s="39" t="s">
        <v>858</v>
      </c>
      <c r="C34" s="719"/>
      <c r="D34" s="835"/>
      <c r="E34" s="39"/>
      <c r="F34" s="835"/>
      <c r="G34" s="39"/>
      <c r="H34" s="98" t="n">
        <v>0</v>
      </c>
      <c r="I34" s="61" t="n">
        <f aca="false">H37</f>
        <v>0</v>
      </c>
      <c r="J34" s="61" t="n">
        <f aca="false">I37</f>
        <v>0</v>
      </c>
      <c r="K34" s="61" t="n">
        <f aca="false">J37</f>
        <v>121144.837783539</v>
      </c>
      <c r="L34" s="61" t="n">
        <f aca="false">K37</f>
        <v>114824.237551354</v>
      </c>
      <c r="M34" s="61" t="n">
        <f aca="false">L37</f>
        <v>108503.637319169</v>
      </c>
      <c r="N34" s="61" t="n">
        <f aca="false">M37</f>
        <v>102183.037086985</v>
      </c>
      <c r="O34" s="61" t="n">
        <f aca="false">N37</f>
        <v>95862.4368548001</v>
      </c>
      <c r="P34" s="61" t="n">
        <f aca="false">O37</f>
        <v>89541.8366226155</v>
      </c>
      <c r="Q34" s="61" t="n">
        <f aca="false">P37</f>
        <v>83221.2363904309</v>
      </c>
      <c r="R34" s="61" t="n">
        <f aca="false">Q37</f>
        <v>76900.6361582463</v>
      </c>
      <c r="S34" s="61" t="n">
        <f aca="false">R37</f>
        <v>70580.0359260617</v>
      </c>
      <c r="T34" s="61" t="n">
        <f aca="false">S37</f>
        <v>64259.435693877</v>
      </c>
      <c r="U34" s="61" t="n">
        <f aca="false">T37</f>
        <v>57938.8354616924</v>
      </c>
      <c r="V34" s="61" t="n">
        <f aca="false">U37</f>
        <v>51618.2352295078</v>
      </c>
      <c r="W34" s="61" t="n">
        <f aca="false">V37</f>
        <v>45297.6349973232</v>
      </c>
      <c r="X34" s="61" t="n">
        <f aca="false">W37</f>
        <v>38977.0347651385</v>
      </c>
      <c r="Y34" s="61" t="n">
        <f aca="false">X37</f>
        <v>32656.4345329539</v>
      </c>
      <c r="Z34" s="61" t="n">
        <f aca="false">Y37</f>
        <v>26335.8343007693</v>
      </c>
      <c r="AA34" s="61" t="n">
        <f aca="false">Z37</f>
        <v>20015.2340685847</v>
      </c>
      <c r="AB34" s="61" t="n">
        <f aca="false">AA37</f>
        <v>13694.6338364</v>
      </c>
      <c r="AC34" s="304" t="n">
        <f aca="false">H34</f>
        <v>0</v>
      </c>
      <c r="AD34" s="39"/>
    </row>
    <row r="35" customFormat="false" ht="12.75" hidden="false" customHeight="false" outlineLevel="0" collapsed="false">
      <c r="A35" s="37"/>
      <c r="B35" s="39" t="s">
        <v>851</v>
      </c>
      <c r="C35" s="719"/>
      <c r="D35" s="835"/>
      <c r="E35" s="39"/>
      <c r="F35" s="835"/>
      <c r="G35" s="39"/>
      <c r="H35" s="61" t="n">
        <f aca="false">IF(H$7=YEAR(Startops1),$E31,0)</f>
        <v>0</v>
      </c>
      <c r="I35" s="61" t="n">
        <f aca="false">IF(I$7=YEAR(Startops1),$E31,0)</f>
        <v>0</v>
      </c>
      <c r="J35" s="61" t="n">
        <f aca="false">IF(J$7=YEAR(Startops1),$E31,0)</f>
        <v>126412.004643692</v>
      </c>
      <c r="K35" s="61" t="n">
        <f aca="false">IF(K$7=YEAR(Startops1),$E31,0)</f>
        <v>0</v>
      </c>
      <c r="L35" s="61" t="n">
        <f aca="false">IF(L$7=YEAR(Startops1),$E31,0)</f>
        <v>0</v>
      </c>
      <c r="M35" s="61" t="n">
        <f aca="false">IF(M$7=YEAR(Startops1),$E31,0)</f>
        <v>0</v>
      </c>
      <c r="N35" s="61" t="n">
        <f aca="false">IF(N$7=YEAR(Startops1),$E31,0)</f>
        <v>0</v>
      </c>
      <c r="O35" s="61" t="n">
        <f aca="false">IF(O$7=YEAR(Startops1),$E31,0)</f>
        <v>0</v>
      </c>
      <c r="P35" s="61" t="n">
        <f aca="false">IF(P$7=YEAR(Startops1),$E31,0)</f>
        <v>0</v>
      </c>
      <c r="Q35" s="61" t="n">
        <f aca="false">IF(Q$7=YEAR(Startops1),$E31,0)</f>
        <v>0</v>
      </c>
      <c r="R35" s="61" t="n">
        <f aca="false">IF(R$7=YEAR(Startops1),$E31,0)</f>
        <v>0</v>
      </c>
      <c r="S35" s="61" t="n">
        <f aca="false">IF(S$7=YEAR(Startops1),$E31,0)</f>
        <v>0</v>
      </c>
      <c r="T35" s="61" t="n">
        <f aca="false">IF(T$7=YEAR(Startops1),$E31,0)</f>
        <v>0</v>
      </c>
      <c r="U35" s="61" t="n">
        <f aca="false">IF(U$7=YEAR(Startops1),$E31,0)</f>
        <v>0</v>
      </c>
      <c r="V35" s="61" t="n">
        <f aca="false">IF(V$7=YEAR(Startops1),$E31,0)</f>
        <v>0</v>
      </c>
      <c r="W35" s="61" t="n">
        <f aca="false">IF(W$7=YEAR(Startops1),$E31,0)</f>
        <v>0</v>
      </c>
      <c r="X35" s="61" t="n">
        <f aca="false">IF(X$7=YEAR(Startops1),$E31,0)</f>
        <v>0</v>
      </c>
      <c r="Y35" s="61" t="n">
        <f aca="false">IF(Y$7=YEAR(Startops1),$E31,0)</f>
        <v>0</v>
      </c>
      <c r="Z35" s="61" t="n">
        <f aca="false">IF(Z$7=YEAR(Startops1),$E31,0)</f>
        <v>0</v>
      </c>
      <c r="AA35" s="61" t="n">
        <f aca="false">IF(AA$7=YEAR(Startops1),$E31,0)</f>
        <v>0</v>
      </c>
      <c r="AB35" s="61" t="n">
        <f aca="false">IF(AB$7=YEAR(Startops1),$E31,0)</f>
        <v>0</v>
      </c>
      <c r="AC35" s="304" t="n">
        <f aca="false">SUM(H35:AB35)</f>
        <v>126412.004643692</v>
      </c>
      <c r="AD35" s="39"/>
    </row>
    <row r="36" customFormat="false" ht="12.75" hidden="false" customHeight="false" outlineLevel="0" collapsed="false">
      <c r="A36" s="37"/>
      <c r="B36" s="39" t="s">
        <v>852</v>
      </c>
      <c r="C36" s="719"/>
      <c r="D36" s="835"/>
      <c r="E36" s="39"/>
      <c r="F36" s="835"/>
      <c r="G36" s="39"/>
      <c r="H36" s="306" t="n">
        <f aca="false">-H31</f>
        <v>-0</v>
      </c>
      <c r="I36" s="306" t="n">
        <f aca="false">-I31</f>
        <v>-0</v>
      </c>
      <c r="J36" s="306" t="n">
        <f aca="false">-J31</f>
        <v>-5267.16686015385</v>
      </c>
      <c r="K36" s="306" t="n">
        <f aca="false">-K31</f>
        <v>-6320.60023218462</v>
      </c>
      <c r="L36" s="306" t="n">
        <f aca="false">-L31</f>
        <v>-6320.60023218462</v>
      </c>
      <c r="M36" s="306" t="n">
        <f aca="false">-M31</f>
        <v>-6320.60023218462</v>
      </c>
      <c r="N36" s="306" t="n">
        <f aca="false">-N31</f>
        <v>-6320.60023218462</v>
      </c>
      <c r="O36" s="306" t="n">
        <f aca="false">-O31</f>
        <v>-6320.60023218462</v>
      </c>
      <c r="P36" s="306" t="n">
        <f aca="false">-P31</f>
        <v>-6320.60023218462</v>
      </c>
      <c r="Q36" s="306" t="n">
        <f aca="false">-Q31</f>
        <v>-6320.60023218462</v>
      </c>
      <c r="R36" s="306" t="n">
        <f aca="false">-R31</f>
        <v>-6320.60023218462</v>
      </c>
      <c r="S36" s="306" t="n">
        <f aca="false">-S31</f>
        <v>-6320.60023218462</v>
      </c>
      <c r="T36" s="306" t="n">
        <f aca="false">-T31</f>
        <v>-6320.60023218462</v>
      </c>
      <c r="U36" s="306" t="n">
        <f aca="false">-U31</f>
        <v>-6320.60023218462</v>
      </c>
      <c r="V36" s="306" t="n">
        <f aca="false">-V31</f>
        <v>-6320.60023218462</v>
      </c>
      <c r="W36" s="306" t="n">
        <f aca="false">-W31</f>
        <v>-6320.60023218462</v>
      </c>
      <c r="X36" s="306" t="n">
        <f aca="false">-X31</f>
        <v>-6320.60023218462</v>
      </c>
      <c r="Y36" s="306" t="n">
        <f aca="false">-Y31</f>
        <v>-6320.60023218462</v>
      </c>
      <c r="Z36" s="306" t="n">
        <f aca="false">-Z31</f>
        <v>-6320.60023218462</v>
      </c>
      <c r="AA36" s="306" t="n">
        <f aca="false">-AA31</f>
        <v>-6320.60023218462</v>
      </c>
      <c r="AB36" s="306" t="n">
        <f aca="false">-AB31</f>
        <v>-2106.86674406154</v>
      </c>
      <c r="AC36" s="307" t="n">
        <f aca="false">SUM(H36:AB36)</f>
        <v>-114824.237551354</v>
      </c>
      <c r="AD36" s="39"/>
    </row>
    <row r="37" customFormat="false" ht="12.75" hidden="false" customHeight="false" outlineLevel="0" collapsed="false">
      <c r="A37" s="590"/>
      <c r="B37" s="466" t="s">
        <v>859</v>
      </c>
      <c r="C37" s="727"/>
      <c r="D37" s="919"/>
      <c r="E37" s="466"/>
      <c r="F37" s="919"/>
      <c r="G37" s="466"/>
      <c r="H37" s="532" t="n">
        <f aca="false">SUM(H34:H36)</f>
        <v>0</v>
      </c>
      <c r="I37" s="532" t="n">
        <f aca="false">SUM(I34:I36)</f>
        <v>0</v>
      </c>
      <c r="J37" s="532" t="n">
        <f aca="false">SUM(J34:J36)</f>
        <v>121144.837783539</v>
      </c>
      <c r="K37" s="532" t="n">
        <f aca="false">SUM(K34:K36)</f>
        <v>114824.237551354</v>
      </c>
      <c r="L37" s="532" t="n">
        <f aca="false">SUM(L34:L36)</f>
        <v>108503.637319169</v>
      </c>
      <c r="M37" s="532" t="n">
        <f aca="false">SUM(M34:M36)</f>
        <v>102183.037086985</v>
      </c>
      <c r="N37" s="532" t="n">
        <f aca="false">SUM(N34:N36)</f>
        <v>95862.4368548001</v>
      </c>
      <c r="O37" s="532" t="n">
        <f aca="false">SUM(O34:O36)</f>
        <v>89541.8366226155</v>
      </c>
      <c r="P37" s="532" t="n">
        <f aca="false">SUM(P34:P36)</f>
        <v>83221.2363904309</v>
      </c>
      <c r="Q37" s="532" t="n">
        <f aca="false">SUM(Q34:Q36)</f>
        <v>76900.6361582463</v>
      </c>
      <c r="R37" s="532" t="n">
        <f aca="false">SUM(R34:R36)</f>
        <v>70580.0359260617</v>
      </c>
      <c r="S37" s="532" t="n">
        <f aca="false">SUM(S34:S36)</f>
        <v>64259.435693877</v>
      </c>
      <c r="T37" s="532" t="n">
        <f aca="false">SUM(T34:T36)</f>
        <v>57938.8354616924</v>
      </c>
      <c r="U37" s="532" t="n">
        <f aca="false">SUM(U34:U36)</f>
        <v>51618.2352295078</v>
      </c>
      <c r="V37" s="532" t="n">
        <f aca="false">SUM(V34:V36)</f>
        <v>45297.6349973232</v>
      </c>
      <c r="W37" s="532" t="n">
        <f aca="false">SUM(W34:W36)</f>
        <v>38977.0347651385</v>
      </c>
      <c r="X37" s="532" t="n">
        <f aca="false">SUM(X34:X36)</f>
        <v>32656.4345329539</v>
      </c>
      <c r="Y37" s="532" t="n">
        <f aca="false">SUM(Y34:Y36)</f>
        <v>26335.8343007693</v>
      </c>
      <c r="Z37" s="532" t="n">
        <f aca="false">SUM(Z34:Z36)</f>
        <v>20015.2340685847</v>
      </c>
      <c r="AA37" s="532" t="n">
        <f aca="false">SUM(AA34:AA36)</f>
        <v>13694.6338364</v>
      </c>
      <c r="AB37" s="532" t="n">
        <f aca="false">SUM(AB34:AB36)</f>
        <v>11587.7670923385</v>
      </c>
      <c r="AC37" s="888" t="n">
        <f aca="false">SUM(AC34:AC36)</f>
        <v>11587.7670923385</v>
      </c>
      <c r="AD37" s="39"/>
    </row>
    <row r="38" customFormat="false" ht="12.75" hidden="false" customHeight="false" outlineLevel="0" collapsed="false">
      <c r="A38" s="920"/>
      <c r="B38" s="39"/>
      <c r="C38" s="719"/>
      <c r="D38" s="835"/>
      <c r="E38" s="39"/>
      <c r="F38" s="835"/>
      <c r="G38" s="39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304"/>
      <c r="AD38" s="39"/>
    </row>
    <row r="39" customFormat="false" ht="12.75" hidden="false" customHeight="false" outlineLevel="0" collapsed="false">
      <c r="A39" s="303" t="s">
        <v>860</v>
      </c>
      <c r="B39" s="39"/>
      <c r="C39" s="836" t="s">
        <v>843</v>
      </c>
      <c r="D39" s="836"/>
      <c r="E39" s="921" t="s">
        <v>844</v>
      </c>
      <c r="F39" s="921"/>
      <c r="G39" s="39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304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</row>
    <row r="40" customFormat="false" ht="12.75" hidden="false" customHeight="false" outlineLevel="0" collapsed="false">
      <c r="A40" s="37" t="s">
        <v>861</v>
      </c>
      <c r="B40" s="39"/>
      <c r="C40" s="844" t="s">
        <v>846</v>
      </c>
      <c r="D40" s="844"/>
      <c r="E40" s="916" t="s">
        <v>847</v>
      </c>
      <c r="F40" s="916"/>
      <c r="G40" s="39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304"/>
      <c r="AD40" s="39"/>
    </row>
    <row r="41" customFormat="false" ht="12.75" hidden="false" customHeight="false" outlineLevel="0" collapsed="false">
      <c r="A41" s="37"/>
      <c r="B41" s="39" t="s">
        <v>862</v>
      </c>
      <c r="C41" s="917" t="n">
        <f aca="false">Assm!$K$46</f>
        <v>20</v>
      </c>
      <c r="D41" s="917"/>
      <c r="E41" s="918" t="n">
        <f aca="false">Assm!$J$46</f>
        <v>126412.004643692</v>
      </c>
      <c r="F41" s="918"/>
      <c r="G41" s="39"/>
      <c r="H41" s="61" t="n">
        <f aca="false">IF($C41&lt;Term,IF(H$6&gt;=$C41,$E41-SUM($G41:G41),SLN($E41,0,$C41)*H$9/12),$E41/Term*H$9/12)</f>
        <v>0</v>
      </c>
      <c r="I41" s="61" t="n">
        <f aca="false">IF($C41&lt;Term,IF(I$6&gt;=$C41,$E41-SUM($G41:H41),SLN($E41,0,$C41)*I$9/12),$E41/Term*I$9/12)</f>
        <v>0</v>
      </c>
      <c r="J41" s="61" t="n">
        <f aca="false">IF($C41&lt;Term,IF(J$6&gt;=$C41,$E41-SUM($G41:I41),SLN($E41,0,$C41)*J$9/12),$E41/Term*J$9/12)</f>
        <v>5267.16686015385</v>
      </c>
      <c r="K41" s="61" t="n">
        <f aca="false">IF($C41&lt;Term,IF(K$6&gt;=$C41,$E41-SUM($G41:J41),SLN($E41,0,$C41)*K$9/12),$E41/Term*K$9/12)</f>
        <v>6320.60023218462</v>
      </c>
      <c r="L41" s="61" t="n">
        <f aca="false">IF($C41&lt;Term,IF(L$6&gt;=$C41,$E41-SUM($G41:K41),SLN($E41,0,$C41)*L$9/12),$E41/Term*L$9/12)</f>
        <v>6320.60023218462</v>
      </c>
      <c r="M41" s="61" t="n">
        <f aca="false">IF($C41&lt;Term,IF(M$6&gt;=$C41,$E41-SUM($G41:L41),SLN($E41,0,$C41)*M$9/12),$E41/Term*M$9/12)</f>
        <v>6320.60023218462</v>
      </c>
      <c r="N41" s="61" t="n">
        <f aca="false">IF($C41&lt;Term,IF(N$6&gt;=$C41,$E41-SUM($G41:M41),SLN($E41,0,$C41)*N$9/12),$E41/Term*N$9/12)</f>
        <v>6320.60023218462</v>
      </c>
      <c r="O41" s="61" t="n">
        <f aca="false">IF($C41&lt;Term,IF(O$6&gt;=$C41,$E41-SUM($G41:N41),SLN($E41,0,$C41)*O$9/12),$E41/Term*O$9/12)</f>
        <v>6320.60023218462</v>
      </c>
      <c r="P41" s="61" t="n">
        <f aca="false">IF($C41&lt;Term,IF(P$6&gt;=$C41,$E41-SUM($G41:O41),SLN($E41,0,$C41)*P$9/12),$E41/Term*P$9/12)</f>
        <v>6320.60023218462</v>
      </c>
      <c r="Q41" s="61" t="n">
        <f aca="false">IF($C41&lt;Term,IF(Q$6&gt;=$C41,$E41-SUM($G41:P41),SLN($E41,0,$C41)*Q$9/12),$E41/Term*Q$9/12)</f>
        <v>6320.60023218462</v>
      </c>
      <c r="R41" s="61" t="n">
        <f aca="false">IF($C41&lt;Term,IF(R$6&gt;=$C41,$E41-SUM($G41:Q41),SLN($E41,0,$C41)*R$9/12),$E41/Term*R$9/12)</f>
        <v>6320.60023218462</v>
      </c>
      <c r="S41" s="61" t="n">
        <f aca="false">IF($C41&lt;Term,IF(S$6&gt;=$C41,$E41-SUM($G41:R41),SLN($E41,0,$C41)*S$9/12),$E41/Term*S$9/12)</f>
        <v>6320.60023218462</v>
      </c>
      <c r="T41" s="61" t="n">
        <f aca="false">IF($C41&lt;Term,IF(T$6&gt;=$C41,$E41-SUM($G41:S41),SLN($E41,0,$C41)*T$9/12),$E41/Term*T$9/12)</f>
        <v>6320.60023218462</v>
      </c>
      <c r="U41" s="61" t="n">
        <f aca="false">IF($C41&lt;Term,IF(U$6&gt;=$C41,$E41-SUM($G41:T41),SLN($E41,0,$C41)*U$9/12),$E41/Term*U$9/12)</f>
        <v>6320.60023218462</v>
      </c>
      <c r="V41" s="61" t="n">
        <f aca="false">IF($C41&lt;Term,IF(V$6&gt;=$C41,$E41-SUM($G41:U41),SLN($E41,0,$C41)*V$9/12),$E41/Term*V$9/12)</f>
        <v>6320.60023218462</v>
      </c>
      <c r="W41" s="61" t="n">
        <f aca="false">IF($C41&lt;Term,IF(W$6&gt;=$C41,$E41-SUM($G41:V41),SLN($E41,0,$C41)*W$9/12),$E41/Term*W$9/12)</f>
        <v>6320.60023218462</v>
      </c>
      <c r="X41" s="61" t="n">
        <f aca="false">IF($C41&lt;Term,IF(X$6&gt;=$C41,$E41-SUM($G41:W41),SLN($E41,0,$C41)*X$9/12),$E41/Term*X$9/12)</f>
        <v>6320.60023218462</v>
      </c>
      <c r="Y41" s="61" t="n">
        <f aca="false">IF($C41&lt;Term,IF(Y$6&gt;=$C41,$E41-SUM($G41:X41),SLN($E41,0,$C41)*Y$9/12),$E41/Term*Y$9/12)</f>
        <v>6320.60023218462</v>
      </c>
      <c r="Z41" s="61" t="n">
        <f aca="false">IF($C41&lt;Term,IF(Z$6&gt;=$C41,$E41-SUM($G41:Y41),SLN($E41,0,$C41)*Z$9/12),$E41/Term*Z$9/12)</f>
        <v>6320.60023218462</v>
      </c>
      <c r="AA41" s="61" t="n">
        <f aca="false">IF($C41&lt;Term,IF(AA$6&gt;=$C41,$E41-SUM($G41:Z41),SLN($E41,0,$C41)*AA$9/12),$E41/Term*AA$9/12)</f>
        <v>6320.60023218462</v>
      </c>
      <c r="AB41" s="61" t="n">
        <f aca="false">IF($C41&lt;Term,IF(AB$6&gt;=$C41,$E41-SUM($G41:AA41),SLN($E41,0,$C41)*AB$9/12),$E41/Term*AB$9/12)</f>
        <v>2106.86674406154</v>
      </c>
      <c r="AC41" s="304" t="n">
        <f aca="false">SUM(H41:AB41)</f>
        <v>114824.237551354</v>
      </c>
    </row>
    <row r="42" customFormat="false" ht="12.75" hidden="false" customHeight="false" outlineLevel="0" collapsed="false">
      <c r="A42" s="37"/>
      <c r="B42" s="39" t="s">
        <v>863</v>
      </c>
      <c r="C42" s="719"/>
      <c r="D42" s="835"/>
      <c r="E42" s="39"/>
      <c r="F42" s="835"/>
      <c r="G42" s="39"/>
      <c r="H42" s="61" t="n">
        <f aca="false">SUM($H41:H41)</f>
        <v>0</v>
      </c>
      <c r="I42" s="61" t="n">
        <f aca="false">SUM($H41:I41)</f>
        <v>0</v>
      </c>
      <c r="J42" s="61" t="n">
        <f aca="false">SUM($H41:J41)</f>
        <v>5267.16686015385</v>
      </c>
      <c r="K42" s="61" t="n">
        <f aca="false">SUM($H41:K41)</f>
        <v>11587.7670923385</v>
      </c>
      <c r="L42" s="61" t="n">
        <f aca="false">SUM($H41:L41)</f>
        <v>17908.3673245231</v>
      </c>
      <c r="M42" s="61" t="n">
        <f aca="false">SUM($H41:M41)</f>
        <v>24228.9675567077</v>
      </c>
      <c r="N42" s="61" t="n">
        <f aca="false">SUM($H41:N41)</f>
        <v>30549.5677888923</v>
      </c>
      <c r="O42" s="61" t="n">
        <f aca="false">SUM($H41:O41)</f>
        <v>36870.168021077</v>
      </c>
      <c r="P42" s="61" t="n">
        <f aca="false">SUM($H41:P41)</f>
        <v>43190.7682532616</v>
      </c>
      <c r="Q42" s="61" t="n">
        <f aca="false">SUM($H41:Q41)</f>
        <v>49511.3684854462</v>
      </c>
      <c r="R42" s="61" t="n">
        <f aca="false">SUM($H41:R41)</f>
        <v>55831.9687176308</v>
      </c>
      <c r="S42" s="61" t="n">
        <f aca="false">SUM($H41:S41)</f>
        <v>62152.5689498155</v>
      </c>
      <c r="T42" s="61" t="n">
        <f aca="false">SUM($H41:T41)</f>
        <v>68473.1691820001</v>
      </c>
      <c r="U42" s="61" t="n">
        <f aca="false">SUM($H41:U41)</f>
        <v>74793.7694141847</v>
      </c>
      <c r="V42" s="61" t="n">
        <f aca="false">SUM($H41:V41)</f>
        <v>81114.3696463693</v>
      </c>
      <c r="W42" s="61" t="n">
        <f aca="false">SUM($H41:W41)</f>
        <v>87434.9698785539</v>
      </c>
      <c r="X42" s="61" t="n">
        <f aca="false">SUM($H41:X41)</f>
        <v>93755.5701107386</v>
      </c>
      <c r="Y42" s="61" t="n">
        <f aca="false">SUM($H41:Y41)</f>
        <v>100076.170342923</v>
      </c>
      <c r="Z42" s="61" t="n">
        <f aca="false">SUM($H41:Z41)</f>
        <v>106396.770575108</v>
      </c>
      <c r="AA42" s="61" t="n">
        <f aca="false">SUM($H41:AA41)</f>
        <v>112717.370807292</v>
      </c>
      <c r="AB42" s="61" t="n">
        <f aca="false">SUM($H41:AB41)</f>
        <v>114824.237551354</v>
      </c>
      <c r="AC42" s="304"/>
    </row>
    <row r="43" customFormat="false" ht="12.75" hidden="false" customHeight="false" outlineLevel="0" collapsed="false">
      <c r="A43" s="37"/>
      <c r="B43" s="39"/>
      <c r="C43" s="719"/>
      <c r="D43" s="835"/>
      <c r="E43" s="39"/>
      <c r="F43" s="835"/>
      <c r="G43" s="39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304"/>
    </row>
    <row r="44" customFormat="false" ht="12.75" hidden="false" customHeight="false" outlineLevel="0" collapsed="false">
      <c r="A44" s="37"/>
      <c r="B44" s="39" t="s">
        <v>864</v>
      </c>
      <c r="C44" s="719"/>
      <c r="D44" s="835"/>
      <c r="E44" s="39"/>
      <c r="F44" s="835"/>
      <c r="G44" s="39"/>
      <c r="H44" s="98" t="n">
        <v>0</v>
      </c>
      <c r="I44" s="61" t="n">
        <f aca="false">H47</f>
        <v>0</v>
      </c>
      <c r="J44" s="61" t="n">
        <f aca="false">I47</f>
        <v>0</v>
      </c>
      <c r="K44" s="61" t="n">
        <f aca="false">J47</f>
        <v>121144.837783539</v>
      </c>
      <c r="L44" s="61" t="n">
        <f aca="false">K47</f>
        <v>114824.237551354</v>
      </c>
      <c r="M44" s="61" t="n">
        <f aca="false">L47</f>
        <v>108503.637319169</v>
      </c>
      <c r="N44" s="61" t="n">
        <f aca="false">M47</f>
        <v>102183.037086985</v>
      </c>
      <c r="O44" s="61" t="n">
        <f aca="false">N47</f>
        <v>95862.4368548001</v>
      </c>
      <c r="P44" s="61" t="n">
        <f aca="false">O47</f>
        <v>89541.8366226155</v>
      </c>
      <c r="Q44" s="61" t="n">
        <f aca="false">P47</f>
        <v>83221.2363904309</v>
      </c>
      <c r="R44" s="61" t="n">
        <f aca="false">Q47</f>
        <v>76900.6361582463</v>
      </c>
      <c r="S44" s="61" t="n">
        <f aca="false">R47</f>
        <v>70580.0359260617</v>
      </c>
      <c r="T44" s="61" t="n">
        <f aca="false">S47</f>
        <v>64259.435693877</v>
      </c>
      <c r="U44" s="61" t="n">
        <f aca="false">T47</f>
        <v>57938.8354616924</v>
      </c>
      <c r="V44" s="61" t="n">
        <f aca="false">U47</f>
        <v>51618.2352295078</v>
      </c>
      <c r="W44" s="61" t="n">
        <f aca="false">V47</f>
        <v>45297.6349973232</v>
      </c>
      <c r="X44" s="61" t="n">
        <f aca="false">W47</f>
        <v>38977.0347651385</v>
      </c>
      <c r="Y44" s="61" t="n">
        <f aca="false">X47</f>
        <v>32656.4345329539</v>
      </c>
      <c r="Z44" s="61" t="n">
        <f aca="false">Y47</f>
        <v>26335.8343007693</v>
      </c>
      <c r="AA44" s="61" t="n">
        <f aca="false">Z47</f>
        <v>20015.2340685847</v>
      </c>
      <c r="AB44" s="61" t="n">
        <f aca="false">AA47</f>
        <v>13694.6338364</v>
      </c>
      <c r="AC44" s="304" t="n">
        <f aca="false">H44</f>
        <v>0</v>
      </c>
    </row>
    <row r="45" customFormat="false" ht="12.75" hidden="false" customHeight="false" outlineLevel="0" collapsed="false">
      <c r="A45" s="37"/>
      <c r="B45" s="39" t="s">
        <v>851</v>
      </c>
      <c r="C45" s="719"/>
      <c r="D45" s="835"/>
      <c r="E45" s="39"/>
      <c r="F45" s="835"/>
      <c r="G45" s="39"/>
      <c r="H45" s="61" t="n">
        <f aca="false">IF(H$7=YEAR(Startops1),$E41,0)</f>
        <v>0</v>
      </c>
      <c r="I45" s="61" t="n">
        <f aca="false">IF(I$7=YEAR(Startops1),$E41,0)</f>
        <v>0</v>
      </c>
      <c r="J45" s="61" t="n">
        <f aca="false">IF(J$7=YEAR(Startops1),$E41,0)</f>
        <v>126412.004643692</v>
      </c>
      <c r="K45" s="61" t="n">
        <f aca="false">IF(K$7=YEAR(Startops1),$E41,0)</f>
        <v>0</v>
      </c>
      <c r="L45" s="61" t="n">
        <f aca="false">IF(L$7=YEAR(Startops1),$E41,0)</f>
        <v>0</v>
      </c>
      <c r="M45" s="61" t="n">
        <f aca="false">IF(M$7=YEAR(Startops1),$E41,0)</f>
        <v>0</v>
      </c>
      <c r="N45" s="61" t="n">
        <f aca="false">IF(N$7=YEAR(Startops1),$E41,0)</f>
        <v>0</v>
      </c>
      <c r="O45" s="61" t="n">
        <f aca="false">IF(O$7=YEAR(Startops1),$E41,0)</f>
        <v>0</v>
      </c>
      <c r="P45" s="61" t="n">
        <f aca="false">IF(P$7=YEAR(Startops1),$E41,0)</f>
        <v>0</v>
      </c>
      <c r="Q45" s="61" t="n">
        <f aca="false">IF(Q$7=YEAR(Startops1),$E41,0)</f>
        <v>0</v>
      </c>
      <c r="R45" s="61" t="n">
        <f aca="false">IF(R$7=YEAR(Startops1),$E41,0)</f>
        <v>0</v>
      </c>
      <c r="S45" s="61" t="n">
        <f aca="false">IF(S$7=YEAR(Startops1),$E41,0)</f>
        <v>0</v>
      </c>
      <c r="T45" s="61" t="n">
        <f aca="false">IF(T$7=YEAR(Startops1),$E41,0)</f>
        <v>0</v>
      </c>
      <c r="U45" s="61" t="n">
        <f aca="false">IF(U$7=YEAR(Startops1),$E41,0)</f>
        <v>0</v>
      </c>
      <c r="V45" s="61" t="n">
        <f aca="false">IF(V$7=YEAR(Startops1),$E41,0)</f>
        <v>0</v>
      </c>
      <c r="W45" s="61" t="n">
        <f aca="false">IF(W$7=YEAR(Startops1),$E41,0)</f>
        <v>0</v>
      </c>
      <c r="X45" s="61" t="n">
        <f aca="false">IF(X$7=YEAR(Startops1),$E41,0)</f>
        <v>0</v>
      </c>
      <c r="Y45" s="61" t="n">
        <f aca="false">IF(Y$7=YEAR(Startops1),$E41,0)</f>
        <v>0</v>
      </c>
      <c r="Z45" s="61" t="n">
        <f aca="false">IF(Z$7=YEAR(Startops1),$E41,0)</f>
        <v>0</v>
      </c>
      <c r="AA45" s="61" t="n">
        <f aca="false">IF(AA$7=YEAR(Startops1),$E41,0)</f>
        <v>0</v>
      </c>
      <c r="AB45" s="61" t="n">
        <f aca="false">IF(AB$7=YEAR(Startops1),$E41,0)</f>
        <v>0</v>
      </c>
      <c r="AC45" s="304" t="n">
        <f aca="false">SUM(H45:AB45)</f>
        <v>126412.004643692</v>
      </c>
    </row>
    <row r="46" customFormat="false" ht="12.75" hidden="false" customHeight="false" outlineLevel="0" collapsed="false">
      <c r="A46" s="37"/>
      <c r="B46" s="39" t="s">
        <v>852</v>
      </c>
      <c r="C46" s="719"/>
      <c r="D46" s="835"/>
      <c r="E46" s="39"/>
      <c r="F46" s="835"/>
      <c r="G46" s="39"/>
      <c r="H46" s="306" t="n">
        <f aca="false">-H41</f>
        <v>-0</v>
      </c>
      <c r="I46" s="306" t="n">
        <f aca="false">-I41</f>
        <v>-0</v>
      </c>
      <c r="J46" s="306" t="n">
        <f aca="false">-J41</f>
        <v>-5267.16686015385</v>
      </c>
      <c r="K46" s="306" t="n">
        <f aca="false">-K41</f>
        <v>-6320.60023218462</v>
      </c>
      <c r="L46" s="306" t="n">
        <f aca="false">-L41</f>
        <v>-6320.60023218462</v>
      </c>
      <c r="M46" s="306" t="n">
        <f aca="false">-M41</f>
        <v>-6320.60023218462</v>
      </c>
      <c r="N46" s="306" t="n">
        <f aca="false">-N41</f>
        <v>-6320.60023218462</v>
      </c>
      <c r="O46" s="306" t="n">
        <f aca="false">-O41</f>
        <v>-6320.60023218462</v>
      </c>
      <c r="P46" s="306" t="n">
        <f aca="false">-P41</f>
        <v>-6320.60023218462</v>
      </c>
      <c r="Q46" s="306" t="n">
        <f aca="false">-Q41</f>
        <v>-6320.60023218462</v>
      </c>
      <c r="R46" s="306" t="n">
        <f aca="false">-R41</f>
        <v>-6320.60023218462</v>
      </c>
      <c r="S46" s="306" t="n">
        <f aca="false">-S41</f>
        <v>-6320.60023218462</v>
      </c>
      <c r="T46" s="306" t="n">
        <f aca="false">-T41</f>
        <v>-6320.60023218462</v>
      </c>
      <c r="U46" s="306" t="n">
        <f aca="false">-U41</f>
        <v>-6320.60023218462</v>
      </c>
      <c r="V46" s="306" t="n">
        <f aca="false">-V41</f>
        <v>-6320.60023218462</v>
      </c>
      <c r="W46" s="306" t="n">
        <f aca="false">-W41</f>
        <v>-6320.60023218462</v>
      </c>
      <c r="X46" s="306" t="n">
        <f aca="false">-X41</f>
        <v>-6320.60023218462</v>
      </c>
      <c r="Y46" s="306" t="n">
        <f aca="false">-Y41</f>
        <v>-6320.60023218462</v>
      </c>
      <c r="Z46" s="306" t="n">
        <f aca="false">-Z41</f>
        <v>-6320.60023218462</v>
      </c>
      <c r="AA46" s="306" t="n">
        <f aca="false">-AA41</f>
        <v>-6320.60023218462</v>
      </c>
      <c r="AB46" s="306" t="n">
        <f aca="false">-AB41</f>
        <v>-2106.86674406154</v>
      </c>
      <c r="AC46" s="307" t="n">
        <f aca="false">SUM(H46:AB46)</f>
        <v>-114824.237551354</v>
      </c>
    </row>
    <row r="47" customFormat="false" ht="13.5" hidden="false" customHeight="false" outlineLevel="0" collapsed="false">
      <c r="A47" s="49"/>
      <c r="B47" s="22" t="s">
        <v>865</v>
      </c>
      <c r="C47" s="873"/>
      <c r="D47" s="922"/>
      <c r="E47" s="22"/>
      <c r="F47" s="922"/>
      <c r="G47" s="22"/>
      <c r="H47" s="877" t="n">
        <f aca="false">SUM(H44:H46)</f>
        <v>0</v>
      </c>
      <c r="I47" s="877" t="n">
        <f aca="false">SUM(I44:I46)</f>
        <v>0</v>
      </c>
      <c r="J47" s="877" t="n">
        <f aca="false">SUM(J44:J46)</f>
        <v>121144.837783539</v>
      </c>
      <c r="K47" s="877" t="n">
        <f aca="false">SUM(K44:K46)</f>
        <v>114824.237551354</v>
      </c>
      <c r="L47" s="877" t="n">
        <f aca="false">SUM(L44:L46)</f>
        <v>108503.637319169</v>
      </c>
      <c r="M47" s="877" t="n">
        <f aca="false">SUM(M44:M46)</f>
        <v>102183.037086985</v>
      </c>
      <c r="N47" s="877" t="n">
        <f aca="false">SUM(N44:N46)</f>
        <v>95862.4368548001</v>
      </c>
      <c r="O47" s="877" t="n">
        <f aca="false">SUM(O44:O46)</f>
        <v>89541.8366226155</v>
      </c>
      <c r="P47" s="877" t="n">
        <f aca="false">SUM(P44:P46)</f>
        <v>83221.2363904309</v>
      </c>
      <c r="Q47" s="877" t="n">
        <f aca="false">SUM(Q44:Q46)</f>
        <v>76900.6361582463</v>
      </c>
      <c r="R47" s="877" t="n">
        <f aca="false">SUM(R44:R46)</f>
        <v>70580.0359260617</v>
      </c>
      <c r="S47" s="877" t="n">
        <f aca="false">SUM(S44:S46)</f>
        <v>64259.435693877</v>
      </c>
      <c r="T47" s="877" t="n">
        <f aca="false">SUM(T44:T46)</f>
        <v>57938.8354616924</v>
      </c>
      <c r="U47" s="877" t="n">
        <f aca="false">SUM(U44:U46)</f>
        <v>51618.2352295078</v>
      </c>
      <c r="V47" s="877" t="n">
        <f aca="false">SUM(V44:V46)</f>
        <v>45297.6349973232</v>
      </c>
      <c r="W47" s="877" t="n">
        <f aca="false">SUM(W44:W46)</f>
        <v>38977.0347651385</v>
      </c>
      <c r="X47" s="877" t="n">
        <f aca="false">SUM(X44:X46)</f>
        <v>32656.4345329539</v>
      </c>
      <c r="Y47" s="877" t="n">
        <f aca="false">SUM(Y44:Y46)</f>
        <v>26335.8343007693</v>
      </c>
      <c r="Z47" s="877" t="n">
        <f aca="false">SUM(Z44:Z46)</f>
        <v>20015.2340685847</v>
      </c>
      <c r="AA47" s="877" t="n">
        <f aca="false">SUM(AA44:AA46)</f>
        <v>13694.6338364</v>
      </c>
      <c r="AB47" s="877" t="n">
        <f aca="false">SUM(AB44:AB46)</f>
        <v>11587.7670923385</v>
      </c>
      <c r="AC47" s="878" t="n">
        <f aca="false">SUM(AC44:AC46)</f>
        <v>11587.7670923385</v>
      </c>
    </row>
  </sheetData>
  <mergeCells count="18">
    <mergeCell ref="C19:D19"/>
    <mergeCell ref="E19:F19"/>
    <mergeCell ref="C20:D20"/>
    <mergeCell ref="E20:F20"/>
    <mergeCell ref="C21:D21"/>
    <mergeCell ref="E21:F21"/>
    <mergeCell ref="C29:D29"/>
    <mergeCell ref="E29:F29"/>
    <mergeCell ref="C30:D30"/>
    <mergeCell ref="E30:F30"/>
    <mergeCell ref="C31:D31"/>
    <mergeCell ref="E31:F31"/>
    <mergeCell ref="C39:D39"/>
    <mergeCell ref="E39:F39"/>
    <mergeCell ref="C40:D40"/>
    <mergeCell ref="E40:F40"/>
    <mergeCell ref="C41:D41"/>
    <mergeCell ref="E41:F41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3" topLeftCell="BM70" activePane="bottomLeft" state="frozen"/>
      <selection pane="topLeft" activeCell="A1" activeCellId="0" sqref="A1"/>
      <selection pane="bottomLeft" activeCell="I92" activeCellId="0" sqref="I9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781" width="1.7"/>
    <col collapsed="false" customWidth="true" hidden="false" outlineLevel="0" max="4" min="3" style="781" width="10.71"/>
    <col collapsed="false" customWidth="true" hidden="false" outlineLevel="0" max="5" min="5" style="781" width="18.41"/>
    <col collapsed="false" customWidth="true" hidden="false" outlineLevel="0" max="6" min="6" style="923" width="10.28"/>
    <col collapsed="false" customWidth="true" hidden="false" outlineLevel="0" max="28" min="7" style="923" width="11.7"/>
    <col collapsed="false" customWidth="false" hidden="false" outlineLevel="0" max="30" min="29" style="923" width="9.14"/>
    <col collapsed="false" customWidth="true" hidden="false" outlineLevel="0" max="31" min="31" style="923" width="9.41"/>
    <col collapsed="false" customWidth="false" hidden="false" outlineLevel="0" max="257" min="32" style="923" width="9.14"/>
  </cols>
  <sheetData>
    <row r="1" customFormat="false" ht="15.75" hidden="false" customHeight="false" outlineLevel="0" collapsed="false">
      <c r="A1" s="924" t="s">
        <v>866</v>
      </c>
      <c r="B1" s="923"/>
      <c r="C1" s="923"/>
      <c r="D1" s="923"/>
      <c r="E1" s="923"/>
    </row>
    <row r="2" customFormat="false" ht="15.75" hidden="false" customHeight="false" outlineLevel="0" collapsed="false">
      <c r="A2" s="924" t="s">
        <v>867</v>
      </c>
      <c r="B2" s="923"/>
      <c r="C2" s="923"/>
      <c r="D2" s="923"/>
      <c r="E2" s="923"/>
    </row>
    <row r="3" customFormat="false" ht="15" hidden="false" customHeight="false" outlineLevel="0" collapsed="false">
      <c r="A3" s="925"/>
      <c r="B3" s="923"/>
      <c r="C3" s="923"/>
      <c r="D3" s="923"/>
      <c r="E3" s="923"/>
      <c r="G3" s="926" t="n">
        <f aca="false">G7</f>
        <v>1998</v>
      </c>
      <c r="H3" s="926" t="n">
        <f aca="false">H7</f>
        <v>1999</v>
      </c>
      <c r="I3" s="926" t="n">
        <f aca="false">I7</f>
        <v>2000</v>
      </c>
      <c r="J3" s="926" t="n">
        <f aca="false">J7</f>
        <v>2001</v>
      </c>
      <c r="K3" s="926" t="n">
        <f aca="false">K7</f>
        <v>2002</v>
      </c>
      <c r="L3" s="926" t="n">
        <f aca="false">L7</f>
        <v>2003</v>
      </c>
      <c r="M3" s="926" t="n">
        <f aca="false">M7</f>
        <v>2004</v>
      </c>
      <c r="N3" s="926" t="n">
        <f aca="false">N7</f>
        <v>2005</v>
      </c>
      <c r="O3" s="926" t="n">
        <f aca="false">O7</f>
        <v>2006</v>
      </c>
      <c r="P3" s="926" t="n">
        <f aca="false">P7</f>
        <v>2007</v>
      </c>
      <c r="Q3" s="926" t="n">
        <f aca="false">Q7</f>
        <v>2008</v>
      </c>
      <c r="R3" s="926" t="n">
        <f aca="false">R7</f>
        <v>2009</v>
      </c>
      <c r="S3" s="926" t="n">
        <f aca="false">S7</f>
        <v>2010</v>
      </c>
      <c r="T3" s="926" t="n">
        <f aca="false">T7</f>
        <v>2011</v>
      </c>
      <c r="U3" s="926" t="n">
        <f aca="false">U7</f>
        <v>2012</v>
      </c>
      <c r="V3" s="926" t="n">
        <f aca="false">V7</f>
        <v>2013</v>
      </c>
      <c r="W3" s="926" t="n">
        <f aca="false">W7</f>
        <v>2014</v>
      </c>
      <c r="X3" s="926" t="n">
        <f aca="false">X7</f>
        <v>2015</v>
      </c>
      <c r="Y3" s="926" t="n">
        <f aca="false">Y7</f>
        <v>2016</v>
      </c>
      <c r="Z3" s="926" t="n">
        <f aca="false">Z7</f>
        <v>2017</v>
      </c>
      <c r="AA3" s="926" t="n">
        <f aca="false">AA7</f>
        <v>2018</v>
      </c>
      <c r="AB3" s="926" t="n">
        <f aca="false">AB7</f>
        <v>2019</v>
      </c>
    </row>
    <row r="4" customFormat="false" ht="15" hidden="false" customHeight="false" outlineLevel="0" collapsed="false">
      <c r="A4" s="927"/>
      <c r="B4" s="923"/>
      <c r="C4" s="923"/>
      <c r="D4" s="923"/>
      <c r="E4" s="923"/>
    </row>
    <row r="5" customFormat="false" ht="13.5" hidden="false" customHeight="false" outlineLevel="0" collapsed="false">
      <c r="C5" s="923"/>
    </row>
    <row r="6" customFormat="false" ht="12.75" hidden="false" customHeight="false" outlineLevel="0" collapsed="false">
      <c r="A6" s="928"/>
      <c r="B6" s="929"/>
      <c r="C6" s="929"/>
      <c r="D6" s="929"/>
      <c r="E6" s="929"/>
      <c r="F6" s="930" t="s">
        <v>868</v>
      </c>
      <c r="G6" s="931" t="n">
        <v>0</v>
      </c>
      <c r="H6" s="929" t="n">
        <f aca="false">IF(H$7&lt;YEAR(Startops1),0,G$6+1)</f>
        <v>0</v>
      </c>
      <c r="I6" s="929" t="n">
        <f aca="false">IF(I$7&lt;YEAR(Startops1),0,H$6+1)</f>
        <v>0</v>
      </c>
      <c r="J6" s="929" t="n">
        <f aca="false">IF(J$7&lt;YEAR(Startops1),0,I$6+1)</f>
        <v>1</v>
      </c>
      <c r="K6" s="929" t="n">
        <f aca="false">IF(K$7&lt;YEAR(Startops1),0,J$6+1)</f>
        <v>2</v>
      </c>
      <c r="L6" s="929" t="n">
        <f aca="false">IF(L$7&lt;YEAR(Startops1),0,K$6+1)</f>
        <v>3</v>
      </c>
      <c r="M6" s="929" t="n">
        <f aca="false">IF(M$7&lt;YEAR(Startops1),0,L$6+1)</f>
        <v>4</v>
      </c>
      <c r="N6" s="929" t="n">
        <f aca="false">IF(N$7&lt;YEAR(Startops1),0,M$6+1)</f>
        <v>5</v>
      </c>
      <c r="O6" s="929" t="n">
        <f aca="false">IF(O$7&lt;YEAR(Startops1),0,N$6+1)</f>
        <v>6</v>
      </c>
      <c r="P6" s="929" t="n">
        <f aca="false">IF(P$7&lt;YEAR(Startops1),0,O$6+1)</f>
        <v>7</v>
      </c>
      <c r="Q6" s="929" t="n">
        <f aca="false">IF(Q$7&lt;YEAR(Startops1),0,P$6+1)</f>
        <v>8</v>
      </c>
      <c r="R6" s="929" t="n">
        <f aca="false">IF(R$7&lt;YEAR(Startops1),0,Q$6+1)</f>
        <v>9</v>
      </c>
      <c r="S6" s="929" t="n">
        <f aca="false">IF(S$7&lt;YEAR(Startops1),0,R$6+1)</f>
        <v>10</v>
      </c>
      <c r="T6" s="929" t="n">
        <f aca="false">IF(T$7&lt;YEAR(Startops1),0,S$6+1)</f>
        <v>11</v>
      </c>
      <c r="U6" s="929" t="n">
        <f aca="false">IF(U$7&lt;YEAR(Startops1),0,T$6+1)</f>
        <v>12</v>
      </c>
      <c r="V6" s="929" t="n">
        <f aca="false">IF(V$7&lt;YEAR(Startops1),0,U$6+1)</f>
        <v>13</v>
      </c>
      <c r="W6" s="929" t="n">
        <f aca="false">IF(W$7&lt;YEAR(Startops1),0,V$6+1)</f>
        <v>14</v>
      </c>
      <c r="X6" s="929" t="n">
        <f aca="false">IF(X$7&lt;YEAR(Startops1),0,W$6+1)</f>
        <v>15</v>
      </c>
      <c r="Y6" s="929" t="n">
        <f aca="false">IF(Y$7&lt;YEAR(Startops1),0,X$6+1)</f>
        <v>16</v>
      </c>
      <c r="Z6" s="929" t="n">
        <f aca="false">IF(Z$7&lt;YEAR(Startops1),0,Y$6+1)</f>
        <v>17</v>
      </c>
      <c r="AA6" s="929" t="n">
        <f aca="false">IF(AA$7&lt;YEAR(Startops1),0,Z$6+1)</f>
        <v>18</v>
      </c>
      <c r="AB6" s="929" t="n">
        <f aca="false">IF(AB$7&lt;YEAR(Startops1),0,AA$6+1)</f>
        <v>19</v>
      </c>
      <c r="AC6" s="932"/>
      <c r="AD6" s="933"/>
      <c r="AE6" s="934" t="s">
        <v>869</v>
      </c>
      <c r="AF6" s="933"/>
      <c r="AG6" s="933"/>
      <c r="AH6" s="933"/>
      <c r="AI6" s="933"/>
      <c r="AJ6" s="933"/>
      <c r="AK6" s="933"/>
      <c r="AL6" s="933"/>
      <c r="AM6" s="933"/>
      <c r="AN6" s="933"/>
      <c r="AO6" s="933"/>
      <c r="AP6" s="933"/>
      <c r="AQ6" s="933"/>
      <c r="AR6" s="933"/>
      <c r="AS6" s="933"/>
      <c r="AT6" s="933"/>
      <c r="AU6" s="933"/>
      <c r="AV6" s="933"/>
      <c r="AW6" s="933"/>
      <c r="AX6" s="933"/>
      <c r="AY6" s="933"/>
      <c r="AZ6" s="933"/>
      <c r="BA6" s="933"/>
      <c r="BB6" s="933"/>
      <c r="BC6" s="933"/>
      <c r="BD6" s="933"/>
      <c r="BE6" s="933"/>
      <c r="BF6" s="933"/>
      <c r="BG6" s="933"/>
      <c r="BH6" s="933"/>
      <c r="BI6" s="933"/>
      <c r="BJ6" s="933"/>
      <c r="BK6" s="933"/>
      <c r="BL6" s="933"/>
      <c r="BM6" s="933"/>
      <c r="BN6" s="933"/>
      <c r="BO6" s="933"/>
      <c r="BP6" s="933"/>
      <c r="BQ6" s="933"/>
      <c r="BR6" s="933"/>
      <c r="BS6" s="933"/>
      <c r="BT6" s="933"/>
      <c r="BU6" s="933"/>
      <c r="BV6" s="933"/>
      <c r="BW6" s="933"/>
      <c r="BX6" s="933"/>
      <c r="BY6" s="933"/>
      <c r="BZ6" s="933"/>
      <c r="CA6" s="933"/>
      <c r="CB6" s="933"/>
      <c r="CC6" s="933"/>
      <c r="CD6" s="933"/>
      <c r="CE6" s="933"/>
      <c r="CF6" s="933"/>
      <c r="CG6" s="933"/>
      <c r="CH6" s="933"/>
      <c r="CI6" s="933"/>
      <c r="CJ6" s="933"/>
      <c r="CK6" s="933"/>
      <c r="CL6" s="933"/>
      <c r="CM6" s="933"/>
      <c r="CN6" s="933"/>
      <c r="CO6" s="933"/>
      <c r="CP6" s="933"/>
      <c r="CQ6" s="933"/>
      <c r="CR6" s="933"/>
      <c r="CS6" s="933"/>
      <c r="CT6" s="933"/>
      <c r="CU6" s="933"/>
      <c r="CV6" s="933"/>
      <c r="CW6" s="933"/>
      <c r="CX6" s="933"/>
      <c r="CY6" s="933"/>
      <c r="CZ6" s="933"/>
      <c r="DA6" s="933"/>
      <c r="DB6" s="933"/>
      <c r="DC6" s="933"/>
      <c r="DD6" s="933"/>
      <c r="DE6" s="933"/>
      <c r="DF6" s="933"/>
      <c r="DG6" s="933"/>
      <c r="DH6" s="933"/>
      <c r="DI6" s="933"/>
      <c r="DJ6" s="933"/>
      <c r="DK6" s="933"/>
      <c r="DL6" s="933"/>
      <c r="DM6" s="933"/>
      <c r="DN6" s="933"/>
      <c r="DO6" s="933"/>
      <c r="DP6" s="933"/>
      <c r="DQ6" s="933"/>
      <c r="DR6" s="933"/>
      <c r="DS6" s="933"/>
      <c r="DT6" s="933"/>
      <c r="DU6" s="933"/>
      <c r="DV6" s="933"/>
      <c r="DW6" s="933"/>
      <c r="DX6" s="933"/>
      <c r="DY6" s="933"/>
      <c r="DZ6" s="933"/>
      <c r="EA6" s="933"/>
      <c r="EB6" s="933"/>
      <c r="EC6" s="933"/>
      <c r="ED6" s="933"/>
      <c r="EE6" s="933"/>
      <c r="EF6" s="933"/>
      <c r="EG6" s="933"/>
      <c r="EH6" s="933"/>
      <c r="EI6" s="933"/>
      <c r="EJ6" s="933"/>
      <c r="EK6" s="933"/>
      <c r="EL6" s="933"/>
      <c r="EM6" s="933"/>
      <c r="EN6" s="933"/>
      <c r="EO6" s="933"/>
      <c r="EP6" s="933"/>
      <c r="EQ6" s="933"/>
      <c r="ER6" s="933"/>
      <c r="ES6" s="933"/>
      <c r="ET6" s="933"/>
      <c r="EU6" s="933"/>
      <c r="EV6" s="933"/>
      <c r="EW6" s="933"/>
      <c r="EX6" s="933"/>
      <c r="EY6" s="933"/>
      <c r="EZ6" s="933"/>
      <c r="FA6" s="933"/>
      <c r="FB6" s="933"/>
      <c r="FC6" s="933"/>
      <c r="FD6" s="933"/>
      <c r="FE6" s="933"/>
      <c r="FF6" s="933"/>
      <c r="FG6" s="933"/>
      <c r="FH6" s="933"/>
      <c r="FI6" s="933"/>
      <c r="FJ6" s="933"/>
      <c r="FK6" s="933"/>
      <c r="FL6" s="933"/>
      <c r="FM6" s="933"/>
      <c r="FN6" s="933"/>
      <c r="FO6" s="933"/>
      <c r="FP6" s="933"/>
      <c r="FQ6" s="933"/>
      <c r="FR6" s="933"/>
      <c r="FS6" s="933"/>
      <c r="FT6" s="933"/>
      <c r="FU6" s="933"/>
      <c r="FV6" s="933"/>
      <c r="FW6" s="933"/>
      <c r="FX6" s="933"/>
      <c r="FY6" s="933"/>
      <c r="FZ6" s="933"/>
      <c r="GA6" s="933"/>
      <c r="GB6" s="933"/>
      <c r="GC6" s="933"/>
      <c r="GD6" s="933"/>
      <c r="GE6" s="933"/>
      <c r="GF6" s="933"/>
      <c r="GG6" s="933"/>
      <c r="GH6" s="933"/>
      <c r="GI6" s="933"/>
      <c r="GJ6" s="933"/>
      <c r="GK6" s="933"/>
      <c r="GL6" s="933"/>
      <c r="GM6" s="933"/>
      <c r="GN6" s="933"/>
      <c r="GO6" s="933"/>
      <c r="GP6" s="933"/>
      <c r="GQ6" s="933"/>
      <c r="GR6" s="933"/>
      <c r="GS6" s="933"/>
      <c r="GT6" s="933"/>
      <c r="GU6" s="933"/>
      <c r="GV6" s="933"/>
      <c r="GW6" s="933"/>
      <c r="GX6" s="933"/>
      <c r="GY6" s="933"/>
      <c r="GZ6" s="933"/>
      <c r="HA6" s="933"/>
      <c r="HB6" s="933"/>
      <c r="HC6" s="933"/>
      <c r="HD6" s="933"/>
      <c r="HE6" s="933"/>
      <c r="HF6" s="933"/>
      <c r="HG6" s="933"/>
      <c r="HH6" s="933"/>
      <c r="HI6" s="933"/>
      <c r="HJ6" s="933"/>
      <c r="HK6" s="933"/>
      <c r="HL6" s="933"/>
      <c r="HM6" s="933"/>
      <c r="HN6" s="933"/>
      <c r="HO6" s="933"/>
      <c r="HP6" s="933"/>
      <c r="HQ6" s="933"/>
      <c r="HR6" s="933"/>
      <c r="HS6" s="933"/>
      <c r="HT6" s="933"/>
      <c r="HU6" s="933"/>
      <c r="HV6" s="933"/>
      <c r="HW6" s="933"/>
      <c r="HX6" s="933"/>
      <c r="HY6" s="933"/>
      <c r="HZ6" s="933"/>
      <c r="IA6" s="933"/>
      <c r="IB6" s="933"/>
      <c r="IC6" s="933"/>
      <c r="ID6" s="933"/>
      <c r="IE6" s="933"/>
      <c r="IF6" s="933"/>
      <c r="IG6" s="933"/>
      <c r="IH6" s="933"/>
      <c r="II6" s="933"/>
      <c r="IJ6" s="933"/>
      <c r="IK6" s="933"/>
      <c r="IL6" s="933"/>
      <c r="IM6" s="933"/>
      <c r="IN6" s="933"/>
      <c r="IO6" s="933"/>
      <c r="IP6" s="933"/>
      <c r="IQ6" s="933"/>
      <c r="IR6" s="933"/>
      <c r="IS6" s="933"/>
      <c r="IT6" s="933"/>
      <c r="IU6" s="933"/>
      <c r="IV6" s="933"/>
      <c r="IW6" s="933"/>
    </row>
    <row r="7" customFormat="false" ht="13.5" hidden="false" customHeight="false" outlineLevel="0" collapsed="false">
      <c r="A7" s="935" t="s">
        <v>870</v>
      </c>
      <c r="B7" s="936"/>
      <c r="C7" s="936"/>
      <c r="D7" s="936"/>
      <c r="E7" s="936"/>
      <c r="F7" s="937" t="s">
        <v>871</v>
      </c>
      <c r="G7" s="938" t="n">
        <f aca="false">YEAR(Startconst)</f>
        <v>1998</v>
      </c>
      <c r="H7" s="939" t="n">
        <f aca="false">G7+1</f>
        <v>1999</v>
      </c>
      <c r="I7" s="939" t="n">
        <f aca="false">H7+1</f>
        <v>2000</v>
      </c>
      <c r="J7" s="939" t="n">
        <f aca="false">I7+1</f>
        <v>2001</v>
      </c>
      <c r="K7" s="939" t="n">
        <f aca="false">J7+1</f>
        <v>2002</v>
      </c>
      <c r="L7" s="939" t="n">
        <f aca="false">K7+1</f>
        <v>2003</v>
      </c>
      <c r="M7" s="939" t="n">
        <f aca="false">L7+1</f>
        <v>2004</v>
      </c>
      <c r="N7" s="939" t="n">
        <f aca="false">M7+1</f>
        <v>2005</v>
      </c>
      <c r="O7" s="939" t="n">
        <f aca="false">N7+1</f>
        <v>2006</v>
      </c>
      <c r="P7" s="939" t="n">
        <f aca="false">O7+1</f>
        <v>2007</v>
      </c>
      <c r="Q7" s="939" t="n">
        <f aca="false">P7+1</f>
        <v>2008</v>
      </c>
      <c r="R7" s="939" t="n">
        <f aca="false">Q7+1</f>
        <v>2009</v>
      </c>
      <c r="S7" s="939" t="n">
        <f aca="false">R7+1</f>
        <v>2010</v>
      </c>
      <c r="T7" s="939" t="n">
        <f aca="false">S7+1</f>
        <v>2011</v>
      </c>
      <c r="U7" s="939" t="n">
        <f aca="false">T7+1</f>
        <v>2012</v>
      </c>
      <c r="V7" s="939" t="n">
        <f aca="false">U7+1</f>
        <v>2013</v>
      </c>
      <c r="W7" s="939" t="n">
        <f aca="false">V7+1</f>
        <v>2014</v>
      </c>
      <c r="X7" s="939" t="n">
        <f aca="false">W7+1</f>
        <v>2015</v>
      </c>
      <c r="Y7" s="939" t="n">
        <f aca="false">X7+1</f>
        <v>2016</v>
      </c>
      <c r="Z7" s="939" t="n">
        <f aca="false">Y7+1</f>
        <v>2017</v>
      </c>
      <c r="AA7" s="939" t="n">
        <f aca="false">Z7+1</f>
        <v>2018</v>
      </c>
      <c r="AB7" s="939" t="n">
        <f aca="false">AA7+1</f>
        <v>2019</v>
      </c>
      <c r="AC7" s="940" t="s">
        <v>323</v>
      </c>
      <c r="AD7" s="933"/>
      <c r="AE7" s="941" t="n">
        <v>1</v>
      </c>
      <c r="AF7" s="933"/>
      <c r="AG7" s="933"/>
      <c r="AH7" s="933"/>
      <c r="AI7" s="933"/>
      <c r="AJ7" s="933"/>
      <c r="AK7" s="933"/>
      <c r="AL7" s="933"/>
      <c r="AM7" s="933"/>
      <c r="AN7" s="933"/>
      <c r="AO7" s="933"/>
      <c r="AP7" s="933"/>
      <c r="AQ7" s="933"/>
      <c r="AR7" s="933"/>
      <c r="AS7" s="933"/>
      <c r="AT7" s="933"/>
      <c r="AU7" s="933"/>
      <c r="AV7" s="933"/>
      <c r="AW7" s="933"/>
      <c r="AX7" s="933"/>
      <c r="AY7" s="933"/>
      <c r="AZ7" s="933"/>
      <c r="BA7" s="933"/>
      <c r="BB7" s="933"/>
      <c r="BC7" s="933"/>
      <c r="BD7" s="933"/>
      <c r="BE7" s="933"/>
      <c r="BF7" s="933"/>
      <c r="BG7" s="933"/>
      <c r="BH7" s="933"/>
      <c r="BI7" s="933"/>
      <c r="BJ7" s="933"/>
      <c r="BK7" s="933"/>
      <c r="BL7" s="933"/>
      <c r="BM7" s="933"/>
      <c r="BN7" s="933"/>
      <c r="BO7" s="933"/>
      <c r="BP7" s="933"/>
      <c r="BQ7" s="933"/>
      <c r="BR7" s="933"/>
      <c r="BS7" s="933"/>
      <c r="BT7" s="933"/>
      <c r="BU7" s="933"/>
      <c r="BV7" s="933"/>
      <c r="BW7" s="933"/>
      <c r="BX7" s="933"/>
      <c r="BY7" s="933"/>
      <c r="BZ7" s="933"/>
      <c r="CA7" s="933"/>
      <c r="CB7" s="933"/>
      <c r="CC7" s="933"/>
      <c r="CD7" s="933"/>
      <c r="CE7" s="933"/>
      <c r="CF7" s="933"/>
      <c r="CG7" s="933"/>
      <c r="CH7" s="933"/>
      <c r="CI7" s="933"/>
      <c r="CJ7" s="933"/>
      <c r="CK7" s="933"/>
      <c r="CL7" s="933"/>
      <c r="CM7" s="933"/>
      <c r="CN7" s="933"/>
      <c r="CO7" s="933"/>
      <c r="CP7" s="933"/>
      <c r="CQ7" s="933"/>
      <c r="CR7" s="933"/>
      <c r="CS7" s="933"/>
      <c r="CT7" s="933"/>
      <c r="CU7" s="933"/>
      <c r="CV7" s="933"/>
      <c r="CW7" s="933"/>
      <c r="CX7" s="933"/>
      <c r="CY7" s="933"/>
      <c r="CZ7" s="933"/>
      <c r="DA7" s="933"/>
      <c r="DB7" s="933"/>
      <c r="DC7" s="933"/>
      <c r="DD7" s="933"/>
      <c r="DE7" s="933"/>
      <c r="DF7" s="933"/>
      <c r="DG7" s="933"/>
      <c r="DH7" s="933"/>
      <c r="DI7" s="933"/>
      <c r="DJ7" s="933"/>
      <c r="DK7" s="933"/>
      <c r="DL7" s="933"/>
      <c r="DM7" s="933"/>
      <c r="DN7" s="933"/>
      <c r="DO7" s="933"/>
      <c r="DP7" s="933"/>
      <c r="DQ7" s="933"/>
      <c r="DR7" s="933"/>
      <c r="DS7" s="933"/>
      <c r="DT7" s="933"/>
      <c r="DU7" s="933"/>
      <c r="DV7" s="933"/>
      <c r="DW7" s="933"/>
      <c r="DX7" s="933"/>
      <c r="DY7" s="933"/>
      <c r="DZ7" s="933"/>
      <c r="EA7" s="933"/>
      <c r="EB7" s="933"/>
      <c r="EC7" s="933"/>
      <c r="ED7" s="933"/>
      <c r="EE7" s="933"/>
      <c r="EF7" s="933"/>
      <c r="EG7" s="933"/>
      <c r="EH7" s="933"/>
      <c r="EI7" s="933"/>
      <c r="EJ7" s="933"/>
      <c r="EK7" s="933"/>
      <c r="EL7" s="933"/>
      <c r="EM7" s="933"/>
      <c r="EN7" s="933"/>
      <c r="EO7" s="933"/>
      <c r="EP7" s="933"/>
      <c r="EQ7" s="933"/>
      <c r="ER7" s="933"/>
      <c r="ES7" s="933"/>
      <c r="ET7" s="933"/>
      <c r="EU7" s="933"/>
      <c r="EV7" s="933"/>
      <c r="EW7" s="933"/>
      <c r="EX7" s="933"/>
      <c r="EY7" s="933"/>
      <c r="EZ7" s="933"/>
      <c r="FA7" s="933"/>
      <c r="FB7" s="933"/>
      <c r="FC7" s="933"/>
      <c r="FD7" s="933"/>
      <c r="FE7" s="933"/>
      <c r="FF7" s="933"/>
      <c r="FG7" s="933"/>
      <c r="FH7" s="933"/>
      <c r="FI7" s="933"/>
      <c r="FJ7" s="933"/>
      <c r="FK7" s="933"/>
      <c r="FL7" s="933"/>
      <c r="FM7" s="933"/>
      <c r="FN7" s="933"/>
      <c r="FO7" s="933"/>
      <c r="FP7" s="933"/>
      <c r="FQ7" s="933"/>
      <c r="FR7" s="933"/>
      <c r="FS7" s="933"/>
      <c r="FT7" s="933"/>
      <c r="FU7" s="933"/>
      <c r="FV7" s="933"/>
      <c r="FW7" s="933"/>
      <c r="FX7" s="933"/>
      <c r="FY7" s="933"/>
      <c r="FZ7" s="933"/>
      <c r="GA7" s="933"/>
      <c r="GB7" s="933"/>
      <c r="GC7" s="933"/>
      <c r="GD7" s="933"/>
      <c r="GE7" s="933"/>
      <c r="GF7" s="933"/>
      <c r="GG7" s="933"/>
      <c r="GH7" s="933"/>
      <c r="GI7" s="933"/>
      <c r="GJ7" s="933"/>
      <c r="GK7" s="933"/>
      <c r="GL7" s="933"/>
      <c r="GM7" s="933"/>
      <c r="GN7" s="933"/>
      <c r="GO7" s="933"/>
      <c r="GP7" s="933"/>
      <c r="GQ7" s="933"/>
      <c r="GR7" s="933"/>
      <c r="GS7" s="933"/>
      <c r="GT7" s="933"/>
      <c r="GU7" s="933"/>
      <c r="GV7" s="933"/>
      <c r="GW7" s="933"/>
      <c r="GX7" s="933"/>
      <c r="GY7" s="933"/>
      <c r="GZ7" s="933"/>
      <c r="HA7" s="933"/>
      <c r="HB7" s="933"/>
      <c r="HC7" s="933"/>
      <c r="HD7" s="933"/>
      <c r="HE7" s="933"/>
      <c r="HF7" s="933"/>
      <c r="HG7" s="933"/>
      <c r="HH7" s="933"/>
      <c r="HI7" s="933"/>
      <c r="HJ7" s="933"/>
      <c r="HK7" s="933"/>
      <c r="HL7" s="933"/>
      <c r="HM7" s="933"/>
      <c r="HN7" s="933"/>
      <c r="HO7" s="933"/>
      <c r="HP7" s="933"/>
      <c r="HQ7" s="933"/>
      <c r="HR7" s="933"/>
      <c r="HS7" s="933"/>
      <c r="HT7" s="933"/>
      <c r="HU7" s="933"/>
      <c r="HV7" s="933"/>
      <c r="HW7" s="933"/>
      <c r="HX7" s="933"/>
      <c r="HY7" s="933"/>
      <c r="HZ7" s="933"/>
      <c r="IA7" s="933"/>
      <c r="IB7" s="933"/>
      <c r="IC7" s="933"/>
      <c r="ID7" s="933"/>
      <c r="IE7" s="933"/>
      <c r="IF7" s="933"/>
      <c r="IG7" s="933"/>
      <c r="IH7" s="933"/>
      <c r="II7" s="933"/>
      <c r="IJ7" s="933"/>
      <c r="IK7" s="933"/>
      <c r="IL7" s="933"/>
      <c r="IM7" s="933"/>
      <c r="IN7" s="933"/>
      <c r="IO7" s="933"/>
      <c r="IP7" s="933"/>
      <c r="IQ7" s="933"/>
      <c r="IR7" s="933"/>
      <c r="IS7" s="933"/>
      <c r="IT7" s="933"/>
      <c r="IU7" s="933"/>
      <c r="IV7" s="933"/>
      <c r="IW7" s="933"/>
    </row>
    <row r="8" customFormat="false" ht="12.75" hidden="false" customHeight="false" outlineLevel="0" collapsed="false">
      <c r="A8" s="942" t="s">
        <v>872</v>
      </c>
    </row>
    <row r="9" customFormat="false" ht="12.75" hidden="false" customHeight="false" outlineLevel="0" collapsed="false">
      <c r="A9" s="943"/>
      <c r="B9" s="781" t="s">
        <v>873</v>
      </c>
      <c r="G9" s="923" t="n">
        <f aca="false">BS_IS!G9/BS_IS!G$17</f>
        <v>0</v>
      </c>
      <c r="H9" s="923" t="n">
        <f aca="false">BS_IS!H9/BS_IS!H$17</f>
        <v>0</v>
      </c>
      <c r="I9" s="923" t="n">
        <f aca="false">BS_IS!I9/BS_IS!I$17</f>
        <v>0</v>
      </c>
      <c r="J9" s="923" t="n">
        <f aca="false">BS_IS!J9/BS_IS!J$17</f>
        <v>0</v>
      </c>
      <c r="K9" s="923" t="n">
        <f aca="false">BS_IS!K9/BS_IS!K$17</f>
        <v>0</v>
      </c>
      <c r="L9" s="923" t="n">
        <f aca="false">BS_IS!L9/BS_IS!L$17</f>
        <v>0</v>
      </c>
      <c r="M9" s="923" t="n">
        <f aca="false">BS_IS!M9/BS_IS!M$17</f>
        <v>0</v>
      </c>
      <c r="N9" s="923" t="n">
        <f aca="false">BS_IS!N9/BS_IS!N$17</f>
        <v>0</v>
      </c>
      <c r="O9" s="923" t="n">
        <f aca="false">BS_IS!O9/BS_IS!O$17</f>
        <v>0</v>
      </c>
      <c r="P9" s="923" t="n">
        <f aca="false">BS_IS!P9/BS_IS!P$17</f>
        <v>0</v>
      </c>
      <c r="Q9" s="923" t="n">
        <f aca="false">BS_IS!Q9/BS_IS!Q$17</f>
        <v>0</v>
      </c>
      <c r="R9" s="923" t="n">
        <f aca="false">BS_IS!R9/BS_IS!R$17</f>
        <v>0</v>
      </c>
      <c r="S9" s="923" t="n">
        <f aca="false">BS_IS!S9/BS_IS!S$17</f>
        <v>0</v>
      </c>
      <c r="T9" s="923" t="n">
        <f aca="false">BS_IS!T9/BS_IS!T$17</f>
        <v>0</v>
      </c>
      <c r="U9" s="923" t="n">
        <f aca="false">BS_IS!U9/BS_IS!U$17</f>
        <v>0</v>
      </c>
      <c r="V9" s="923" t="n">
        <f aca="false">BS_IS!V9/BS_IS!V$17</f>
        <v>0</v>
      </c>
      <c r="W9" s="923" t="n">
        <f aca="false">BS_IS!W9/BS_IS!W$17</f>
        <v>0</v>
      </c>
      <c r="X9" s="923" t="n">
        <f aca="false">BS_IS!X9/BS_IS!X$17</f>
        <v>0</v>
      </c>
      <c r="Y9" s="923" t="n">
        <f aca="false">BS_IS!Y9/BS_IS!Y$17</f>
        <v>0</v>
      </c>
      <c r="Z9" s="923" t="n">
        <f aca="false">BS_IS!Z9/BS_IS!Z$17</f>
        <v>0</v>
      </c>
      <c r="AA9" s="923" t="n">
        <f aca="false">BS_IS!AA9/BS_IS!AA$17</f>
        <v>0</v>
      </c>
      <c r="AB9" s="923" t="n">
        <f aca="false">BS_IS!AB9/BS_IS!AB$17</f>
        <v>0</v>
      </c>
    </row>
    <row r="10" customFormat="false" ht="12.75" hidden="false" customHeight="false" outlineLevel="0" collapsed="false">
      <c r="A10" s="943"/>
      <c r="B10" s="781" t="s">
        <v>874</v>
      </c>
      <c r="G10" s="923" t="n">
        <f aca="false">BS_IS!G10/BS_IS!G$17</f>
        <v>-0</v>
      </c>
      <c r="H10" s="923" t="n">
        <f aca="false">BS_IS!H10/BS_IS!H$17</f>
        <v>-0</v>
      </c>
      <c r="I10" s="923" t="n">
        <f aca="false">BS_IS!I10/BS_IS!I$17</f>
        <v>-0</v>
      </c>
      <c r="J10" s="923" t="n">
        <f aca="false">BS_IS!J10/BS_IS!J$17</f>
        <v>0.00119959198955758</v>
      </c>
      <c r="K10" s="923" t="n">
        <f aca="false">BS_IS!K10/BS_IS!K$17</f>
        <v>0.0013237330242472</v>
      </c>
      <c r="L10" s="923" t="n">
        <f aca="false">BS_IS!L10/BS_IS!L$17</f>
        <v>0.00149306536906835</v>
      </c>
      <c r="M10" s="923" t="n">
        <f aca="false">BS_IS!M10/BS_IS!M$17</f>
        <v>0.00168755686846963</v>
      </c>
      <c r="N10" s="923" t="n">
        <f aca="false">BS_IS!N10/BS_IS!N$17</f>
        <v>0.00194990090674574</v>
      </c>
      <c r="O10" s="923" t="n">
        <f aca="false">BS_IS!O10/BS_IS!O$17</f>
        <v>0.00231278379522391</v>
      </c>
      <c r="P10" s="923" t="n">
        <f aca="false">BS_IS!P10/BS_IS!P$17</f>
        <v>0.00282090174859619</v>
      </c>
      <c r="Q10" s="923" t="n">
        <f aca="false">BS_IS!Q10/BS_IS!Q$17</f>
        <v>0.00334540168027413</v>
      </c>
      <c r="R10" s="923" t="n">
        <f aca="false">BS_IS!R10/BS_IS!R$17</f>
        <v>0.00381966415126854</v>
      </c>
      <c r="S10" s="923" t="n">
        <f aca="false">BS_IS!S10/BS_IS!S$17</f>
        <v>0.00438418749269164</v>
      </c>
      <c r="T10" s="923" t="n">
        <f aca="false">BS_IS!T10/BS_IS!T$17</f>
        <v>0.00521069881385186</v>
      </c>
      <c r="U10" s="923" t="n">
        <f aca="false">BS_IS!U10/BS_IS!U$17</f>
        <v>0.00651774487270451</v>
      </c>
      <c r="V10" s="923" t="n">
        <f aca="false">BS_IS!V10/BS_IS!V$17</f>
        <v>0.00728402506918792</v>
      </c>
      <c r="W10" s="923" t="n">
        <f aca="false">BS_IS!W10/BS_IS!W$17</f>
        <v>0.00772312776980271</v>
      </c>
      <c r="X10" s="923" t="n">
        <f aca="false">BS_IS!X10/BS_IS!X$17</f>
        <v>0.00716080672180716</v>
      </c>
      <c r="Y10" s="923" t="n">
        <f aca="false">BS_IS!Y10/BS_IS!Y$17</f>
        <v>0.00538568019690019</v>
      </c>
      <c r="Z10" s="923" t="n">
        <f aca="false">BS_IS!Z10/BS_IS!Z$17</f>
        <v>0.00486578265297603</v>
      </c>
      <c r="AA10" s="923" t="n">
        <f aca="false">BS_IS!AA10/BS_IS!AA$17</f>
        <v>0.00486578265297603</v>
      </c>
      <c r="AB10" s="923" t="n">
        <f aca="false">BS_IS!AB10/BS_IS!AB$17</f>
        <v>0.0124427218344337</v>
      </c>
    </row>
    <row r="11" customFormat="false" ht="12.75" hidden="false" customHeight="false" outlineLevel="0" collapsed="false">
      <c r="A11" s="943"/>
      <c r="B11" s="781" t="s">
        <v>875</v>
      </c>
      <c r="G11" s="923" t="n">
        <f aca="false">BS_IS!G11/BS_IS!G$17</f>
        <v>-0</v>
      </c>
      <c r="H11" s="923" t="n">
        <f aca="false">BS_IS!H11/BS_IS!H$17</f>
        <v>-0</v>
      </c>
      <c r="I11" s="923" t="n">
        <f aca="false">BS_IS!I11/BS_IS!I$17</f>
        <v>-0</v>
      </c>
      <c r="J11" s="923" t="n">
        <f aca="false">BS_IS!J11/BS_IS!J$17</f>
        <v>0.00342796293246459</v>
      </c>
      <c r="K11" s="923" t="n">
        <f aca="false">BS_IS!K11/BS_IS!K$17</f>
        <v>-0.0423965770703616</v>
      </c>
      <c r="L11" s="923" t="n">
        <f aca="false">BS_IS!L11/BS_IS!L$17</f>
        <v>-0.11110281399375</v>
      </c>
      <c r="M11" s="923" t="n">
        <f aca="false">BS_IS!M11/BS_IS!M$17</f>
        <v>-0.182781297123458</v>
      </c>
      <c r="N11" s="923" t="n">
        <f aca="false">BS_IS!N11/BS_IS!N$17</f>
        <v>-0.282239301906958</v>
      </c>
      <c r="O11" s="923" t="n">
        <f aca="false">BS_IS!O11/BS_IS!O$17</f>
        <v>-0.420743665544344</v>
      </c>
      <c r="P11" s="923" t="n">
        <f aca="false">BS_IS!P11/BS_IS!P$17</f>
        <v>-0.610758787050672</v>
      </c>
      <c r="Q11" s="923" t="n">
        <f aca="false">BS_IS!Q11/BS_IS!Q$17</f>
        <v>-0.765424288104568</v>
      </c>
      <c r="R11" s="923" t="n">
        <f aca="false">BS_IS!R11/BS_IS!R$17</f>
        <v>-0.850340438274714</v>
      </c>
      <c r="S11" s="923" t="n">
        <f aca="false">BS_IS!S11/BS_IS!S$17</f>
        <v>-0.934010312537339</v>
      </c>
      <c r="T11" s="923" t="n">
        <f aca="false">BS_IS!T11/BS_IS!T$17</f>
        <v>-1.07303139207549</v>
      </c>
      <c r="U11" s="923" t="n">
        <f aca="false">BS_IS!U11/BS_IS!U$17</f>
        <v>-1.31086355312736</v>
      </c>
      <c r="V11" s="923" t="n">
        <f aca="false">BS_IS!V11/BS_IS!V$17</f>
        <v>-1.26720942846252</v>
      </c>
      <c r="W11" s="923" t="n">
        <f aca="false">BS_IS!W11/BS_IS!W$17</f>
        <v>-1.06953559064108</v>
      </c>
      <c r="X11" s="923" t="n">
        <f aca="false">BS_IS!X11/BS_IS!X$17</f>
        <v>-0.608848586953533</v>
      </c>
      <c r="Y11" s="923" t="n">
        <f aca="false">BS_IS!Y11/BS_IS!Y$17</f>
        <v>0.0231322563613336</v>
      </c>
      <c r="Z11" s="923" t="n">
        <f aca="false">BS_IS!Z11/BS_IS!Z$17</f>
        <v>0.328080938400625</v>
      </c>
      <c r="AA11" s="923" t="n">
        <f aca="false">BS_IS!AA11/BS_IS!AA$17</f>
        <v>0.538729342278435</v>
      </c>
      <c r="AB11" s="923" t="n">
        <f aca="false">BS_IS!AB11/BS_IS!AB$17</f>
        <v>-0</v>
      </c>
    </row>
    <row r="12" customFormat="false" ht="12.75" hidden="false" customHeight="false" outlineLevel="0" collapsed="false">
      <c r="A12" s="943"/>
      <c r="B12" s="781" t="s">
        <v>876</v>
      </c>
      <c r="G12" s="923" t="n">
        <f aca="false">BS_IS!G12/BS_IS!G$17</f>
        <v>0</v>
      </c>
      <c r="H12" s="923" t="n">
        <f aca="false">BS_IS!H12/BS_IS!H$17</f>
        <v>0</v>
      </c>
      <c r="I12" s="923" t="n">
        <f aca="false">BS_IS!I12/BS_IS!I$17</f>
        <v>0</v>
      </c>
      <c r="J12" s="923" t="n">
        <f aca="false">BS_IS!J12/BS_IS!J$17</f>
        <v>0</v>
      </c>
      <c r="K12" s="923" t="n">
        <f aca="false">BS_IS!K12/BS_IS!K$17</f>
        <v>0</v>
      </c>
      <c r="L12" s="923" t="n">
        <f aca="false">BS_IS!L12/BS_IS!L$17</f>
        <v>0</v>
      </c>
      <c r="M12" s="923" t="n">
        <f aca="false">BS_IS!M12/BS_IS!M$17</f>
        <v>0</v>
      </c>
      <c r="N12" s="923" t="n">
        <f aca="false">BS_IS!N12/BS_IS!N$17</f>
        <v>0</v>
      </c>
      <c r="O12" s="923" t="n">
        <f aca="false">BS_IS!O12/BS_IS!O$17</f>
        <v>0</v>
      </c>
      <c r="P12" s="923" t="n">
        <f aca="false">BS_IS!P12/BS_IS!P$17</f>
        <v>0</v>
      </c>
      <c r="Q12" s="923" t="n">
        <f aca="false">BS_IS!Q12/BS_IS!Q$17</f>
        <v>0</v>
      </c>
      <c r="R12" s="923" t="n">
        <f aca="false">BS_IS!R12/BS_IS!R$17</f>
        <v>0</v>
      </c>
      <c r="S12" s="923" t="n">
        <f aca="false">BS_IS!S12/BS_IS!S$17</f>
        <v>0</v>
      </c>
      <c r="T12" s="923" t="n">
        <f aca="false">BS_IS!T12/BS_IS!T$17</f>
        <v>0</v>
      </c>
      <c r="U12" s="923" t="n">
        <f aca="false">BS_IS!U12/BS_IS!U$17</f>
        <v>0</v>
      </c>
      <c r="V12" s="923" t="n">
        <f aca="false">BS_IS!V12/BS_IS!V$17</f>
        <v>0</v>
      </c>
      <c r="W12" s="923" t="n">
        <f aca="false">BS_IS!W12/BS_IS!W$17</f>
        <v>0</v>
      </c>
      <c r="X12" s="923" t="n">
        <f aca="false">BS_IS!X12/BS_IS!X$17</f>
        <v>0</v>
      </c>
      <c r="Y12" s="923" t="n">
        <f aca="false">BS_IS!Y12/BS_IS!Y$17</f>
        <v>0</v>
      </c>
      <c r="Z12" s="923" t="n">
        <f aca="false">BS_IS!Z12/BS_IS!Z$17</f>
        <v>0</v>
      </c>
      <c r="AA12" s="923" t="n">
        <f aca="false">BS_IS!AA12/BS_IS!AA$17</f>
        <v>0</v>
      </c>
      <c r="AB12" s="923" t="n">
        <f aca="false">BS_IS!AB12/BS_IS!AB$17</f>
        <v>0</v>
      </c>
    </row>
    <row r="13" customFormat="false" ht="12.75" hidden="false" customHeight="false" outlineLevel="0" collapsed="false">
      <c r="A13" s="943"/>
      <c r="C13" s="781" t="s">
        <v>877</v>
      </c>
      <c r="G13" s="923" t="n">
        <f aca="false">BS_IS!G13/BS_IS!G$17</f>
        <v>1</v>
      </c>
      <c r="H13" s="923" t="n">
        <f aca="false">BS_IS!H13/BS_IS!H$17</f>
        <v>1</v>
      </c>
      <c r="I13" s="923" t="n">
        <f aca="false">BS_IS!I13/BS_IS!I$17</f>
        <v>1</v>
      </c>
      <c r="J13" s="923" t="n">
        <f aca="false">BS_IS!J13/BS_IS!J$17</f>
        <v>1.03864950790746</v>
      </c>
      <c r="K13" s="923" t="n">
        <f aca="false">BS_IS!K13/BS_IS!K$17</f>
        <v>1.14613524115169</v>
      </c>
      <c r="L13" s="923" t="n">
        <f aca="false">BS_IS!L13/BS_IS!L$17</f>
        <v>1.29274922169866</v>
      </c>
      <c r="M13" s="923" t="n">
        <f aca="false">BS_IS!M13/BS_IS!M$17</f>
        <v>1.46114689516081</v>
      </c>
      <c r="N13" s="923" t="n">
        <f aca="false">BS_IS!N13/BS_IS!N$17</f>
        <v>1.68829371560468</v>
      </c>
      <c r="O13" s="923" t="n">
        <f aca="false">BS_IS!O13/BS_IS!O$17</f>
        <v>2.00249065658699</v>
      </c>
      <c r="P13" s="923" t="n">
        <f aca="false">BS_IS!P13/BS_IS!P$17</f>
        <v>2.44243729412974</v>
      </c>
      <c r="Q13" s="923" t="n">
        <f aca="false">BS_IS!Q13/BS_IS!Q$17</f>
        <v>2.89656803247829</v>
      </c>
      <c r="R13" s="923" t="n">
        <f aca="false">BS_IS!R13/BS_IS!R$17</f>
        <v>3.30720138648975</v>
      </c>
      <c r="S13" s="923" t="n">
        <f aca="false">BS_IS!S13/BS_IS!S$17</f>
        <v>3.79598581975996</v>
      </c>
      <c r="T13" s="923" t="n">
        <f aca="false">BS_IS!T13/BS_IS!T$17</f>
        <v>4.51160878529811</v>
      </c>
      <c r="U13" s="923" t="n">
        <f aca="false">BS_IS!U13/BS_IS!U$17</f>
        <v>5.64329585695018</v>
      </c>
      <c r="V13" s="923" t="n">
        <f aca="false">BS_IS!V13/BS_IS!V$17</f>
        <v>6.30676856760928</v>
      </c>
      <c r="W13" s="923" t="n">
        <f aca="false">BS_IS!W13/BS_IS!W$17</f>
        <v>6.68695933904199</v>
      </c>
      <c r="X13" s="923" t="n">
        <f aca="false">BS_IS!X13/BS_IS!X$17</f>
        <v>6.20008172992926</v>
      </c>
      <c r="Y13" s="923" t="n">
        <f aca="false">BS_IS!Y13/BS_IS!Y$17</f>
        <v>4.66311390452047</v>
      </c>
      <c r="Z13" s="923" t="n">
        <f aca="false">BS_IS!Z13/BS_IS!Z$17</f>
        <v>4.21296807755619</v>
      </c>
      <c r="AA13" s="923" t="n">
        <f aca="false">BS_IS!AA13/BS_IS!AA$17</f>
        <v>4.2129680775562</v>
      </c>
      <c r="AB13" s="923" t="n">
        <f aca="false">BS_IS!AB13/BS_IS!AB$17</f>
        <v>10.7733521254425</v>
      </c>
    </row>
    <row r="14" customFormat="false" ht="12.75" hidden="false" customHeight="false" outlineLevel="0" collapsed="false">
      <c r="A14" s="944"/>
      <c r="B14" s="519"/>
      <c r="C14" s="781" t="s">
        <v>878</v>
      </c>
      <c r="D14" s="519"/>
      <c r="E14" s="519"/>
      <c r="F14" s="519"/>
      <c r="G14" s="519" t="n">
        <f aca="false">BS_IS!G14/BS_IS!G$17</f>
        <v>0</v>
      </c>
      <c r="H14" s="519" t="n">
        <f aca="false">BS_IS!H14/BS_IS!H$17</f>
        <v>0</v>
      </c>
      <c r="I14" s="519" t="n">
        <f aca="false">BS_IS!I14/BS_IS!I$17</f>
        <v>0</v>
      </c>
      <c r="J14" s="519" t="n">
        <f aca="false">BS_IS!J14/BS_IS!J$17</f>
        <v>-0.0432770628294773</v>
      </c>
      <c r="K14" s="519" t="n">
        <f aca="false">BS_IS!K14/BS_IS!K$17</f>
        <v>-0.105062397105571</v>
      </c>
      <c r="L14" s="519" t="n">
        <f aca="false">BS_IS!L14/BS_IS!L$17</f>
        <v>-0.183139473073977</v>
      </c>
      <c r="M14" s="519" t="n">
        <f aca="false">BS_IS!M14/BS_IS!M$17</f>
        <v>-0.280053154905822</v>
      </c>
      <c r="N14" s="519" t="n">
        <f aca="false">BS_IS!N14/BS_IS!N$17</f>
        <v>-0.408004314604463</v>
      </c>
      <c r="O14" s="519" t="n">
        <f aca="false">BS_IS!O14/BS_IS!O$17</f>
        <v>-0.584059774837873</v>
      </c>
      <c r="P14" s="519" t="n">
        <f aca="false">BS_IS!P14/BS_IS!P$17</f>
        <v>-0.83449940882766</v>
      </c>
      <c r="Q14" s="519" t="n">
        <f aca="false">BS_IS!Q14/BS_IS!Q$17</f>
        <v>-1.134489146054</v>
      </c>
      <c r="R14" s="519" t="n">
        <f aca="false">BS_IS!R14/BS_IS!R$17</f>
        <v>-1.46068061236631</v>
      </c>
      <c r="S14" s="519" t="n">
        <f aca="false">BS_IS!S14/BS_IS!S$17</f>
        <v>-1.86635969471531</v>
      </c>
      <c r="T14" s="519" t="n">
        <f aca="false">BS_IS!T14/BS_IS!T$17</f>
        <v>-2.44378809203648</v>
      </c>
      <c r="U14" s="519" t="n">
        <f aca="false">BS_IS!U14/BS_IS!U$17</f>
        <v>-3.33895004869552</v>
      </c>
      <c r="V14" s="519" t="n">
        <f aca="false">BS_IS!V14/BS_IS!V$17</f>
        <v>-4.04684316421596</v>
      </c>
      <c r="W14" s="519" t="n">
        <f aca="false">BS_IS!W14/BS_IS!W$17</f>
        <v>-4.62514687617071</v>
      </c>
      <c r="X14" s="519" t="n">
        <f aca="false">BS_IS!X14/BS_IS!X$17</f>
        <v>-4.59839394969753</v>
      </c>
      <c r="Y14" s="519" t="n">
        <f aca="false">BS_IS!Y14/BS_IS!Y$17</f>
        <v>-3.69163184107871</v>
      </c>
      <c r="Z14" s="519" t="n">
        <f aca="false">BS_IS!Z14/BS_IS!Z$17</f>
        <v>-3.5459147986098</v>
      </c>
      <c r="AA14" s="519" t="n">
        <f aca="false">BS_IS!AA14/BS_IS!AA$17</f>
        <v>-3.75656320248761</v>
      </c>
      <c r="AB14" s="519" t="n">
        <f aca="false">BS_IS!AB14/BS_IS!AB$17</f>
        <v>-9.78579484727695</v>
      </c>
      <c r="AC14" s="519"/>
      <c r="AD14" s="519"/>
      <c r="AE14" s="519"/>
      <c r="AF14" s="519"/>
      <c r="AG14" s="519"/>
      <c r="AH14" s="519"/>
      <c r="AI14" s="519"/>
      <c r="AJ14" s="519"/>
      <c r="AK14" s="519"/>
      <c r="AL14" s="519"/>
      <c r="AM14" s="519"/>
      <c r="AN14" s="519"/>
      <c r="AO14" s="519"/>
      <c r="AP14" s="519"/>
      <c r="AQ14" s="519"/>
      <c r="AR14" s="519"/>
      <c r="AS14" s="519"/>
      <c r="AT14" s="519"/>
      <c r="AU14" s="519"/>
      <c r="AV14" s="519"/>
      <c r="AW14" s="519"/>
      <c r="AX14" s="519"/>
      <c r="AY14" s="519"/>
      <c r="AZ14" s="519"/>
      <c r="BA14" s="519"/>
      <c r="BB14" s="519"/>
      <c r="BC14" s="519"/>
      <c r="BD14" s="519"/>
      <c r="BE14" s="519"/>
      <c r="BF14" s="519"/>
      <c r="BG14" s="519"/>
      <c r="BH14" s="519"/>
      <c r="BI14" s="519"/>
      <c r="BJ14" s="519"/>
      <c r="BK14" s="519"/>
      <c r="BL14" s="519"/>
      <c r="BM14" s="519"/>
      <c r="BN14" s="519"/>
      <c r="BO14" s="519"/>
      <c r="BP14" s="519"/>
      <c r="BQ14" s="519"/>
      <c r="BR14" s="519"/>
      <c r="BS14" s="519"/>
      <c r="BT14" s="519"/>
      <c r="BU14" s="519"/>
      <c r="BV14" s="519"/>
      <c r="BW14" s="519"/>
      <c r="BX14" s="519"/>
      <c r="BY14" s="519"/>
      <c r="BZ14" s="519"/>
      <c r="CA14" s="519"/>
      <c r="CB14" s="519"/>
      <c r="CC14" s="519"/>
      <c r="CD14" s="519"/>
      <c r="CE14" s="519"/>
      <c r="CF14" s="519"/>
      <c r="CG14" s="519"/>
      <c r="CH14" s="519"/>
      <c r="CI14" s="519"/>
      <c r="CJ14" s="519"/>
      <c r="CK14" s="519"/>
      <c r="CL14" s="519"/>
      <c r="CM14" s="519"/>
      <c r="CN14" s="519"/>
      <c r="CO14" s="519"/>
      <c r="CP14" s="519"/>
      <c r="CQ14" s="519"/>
      <c r="CR14" s="519"/>
      <c r="CS14" s="519"/>
      <c r="CT14" s="519"/>
      <c r="CU14" s="519"/>
      <c r="CV14" s="519"/>
      <c r="CW14" s="519"/>
      <c r="CX14" s="519"/>
      <c r="CY14" s="519"/>
      <c r="CZ14" s="519"/>
      <c r="DA14" s="519"/>
      <c r="DB14" s="519"/>
      <c r="DC14" s="519"/>
      <c r="DD14" s="519"/>
      <c r="DE14" s="519"/>
      <c r="DF14" s="519"/>
      <c r="DG14" s="519"/>
      <c r="DH14" s="519"/>
      <c r="DI14" s="519"/>
      <c r="DJ14" s="519"/>
      <c r="DK14" s="519"/>
      <c r="DL14" s="519"/>
      <c r="DM14" s="519"/>
      <c r="DN14" s="519"/>
      <c r="DO14" s="519"/>
      <c r="DP14" s="519"/>
      <c r="DQ14" s="519"/>
      <c r="DR14" s="519"/>
      <c r="DS14" s="519"/>
      <c r="DT14" s="519"/>
      <c r="DU14" s="519"/>
      <c r="DV14" s="519"/>
      <c r="DW14" s="519"/>
      <c r="DX14" s="519"/>
      <c r="DY14" s="519"/>
      <c r="DZ14" s="519"/>
      <c r="EA14" s="519"/>
      <c r="EB14" s="519"/>
      <c r="EC14" s="519"/>
      <c r="ED14" s="519"/>
      <c r="EE14" s="519"/>
      <c r="EF14" s="519"/>
      <c r="EG14" s="519"/>
      <c r="EH14" s="519"/>
      <c r="EI14" s="519"/>
      <c r="EJ14" s="519"/>
      <c r="EK14" s="519"/>
      <c r="EL14" s="519"/>
      <c r="EM14" s="519"/>
      <c r="EN14" s="519"/>
      <c r="EO14" s="519"/>
      <c r="EP14" s="519"/>
      <c r="EQ14" s="519"/>
      <c r="ER14" s="519"/>
      <c r="ES14" s="519"/>
      <c r="ET14" s="519"/>
      <c r="EU14" s="519"/>
      <c r="EV14" s="519"/>
      <c r="EW14" s="519"/>
      <c r="EX14" s="519"/>
      <c r="EY14" s="519"/>
      <c r="EZ14" s="519"/>
      <c r="FA14" s="519"/>
      <c r="FB14" s="519"/>
      <c r="FC14" s="519"/>
      <c r="FD14" s="519"/>
      <c r="FE14" s="519"/>
      <c r="FF14" s="519"/>
      <c r="FG14" s="519"/>
      <c r="FH14" s="519"/>
      <c r="FI14" s="519"/>
      <c r="FJ14" s="519"/>
      <c r="FK14" s="519"/>
      <c r="FL14" s="519"/>
      <c r="FM14" s="519"/>
      <c r="FN14" s="519"/>
      <c r="FO14" s="519"/>
      <c r="FP14" s="519"/>
      <c r="FQ14" s="519"/>
      <c r="FR14" s="519"/>
      <c r="FS14" s="519"/>
      <c r="FT14" s="519"/>
      <c r="FU14" s="519"/>
      <c r="FV14" s="519"/>
      <c r="FW14" s="519"/>
      <c r="FX14" s="519"/>
      <c r="FY14" s="519"/>
      <c r="FZ14" s="519"/>
      <c r="GA14" s="519"/>
      <c r="GB14" s="519"/>
      <c r="GC14" s="519"/>
      <c r="GD14" s="519"/>
      <c r="GE14" s="519"/>
      <c r="GF14" s="519"/>
      <c r="GG14" s="519"/>
      <c r="GH14" s="519"/>
      <c r="GI14" s="519"/>
      <c r="GJ14" s="519"/>
      <c r="GK14" s="519"/>
      <c r="GL14" s="519"/>
      <c r="GM14" s="519"/>
      <c r="GN14" s="519"/>
      <c r="GO14" s="519"/>
      <c r="GP14" s="519"/>
      <c r="GQ14" s="519"/>
      <c r="GR14" s="519"/>
      <c r="GS14" s="519"/>
      <c r="GT14" s="519"/>
      <c r="GU14" s="519"/>
      <c r="GV14" s="519"/>
      <c r="GW14" s="519"/>
      <c r="GX14" s="519"/>
      <c r="GY14" s="519"/>
      <c r="GZ14" s="519"/>
      <c r="HA14" s="519"/>
      <c r="HB14" s="519"/>
      <c r="HC14" s="519"/>
      <c r="HD14" s="519"/>
      <c r="HE14" s="519"/>
      <c r="HF14" s="519"/>
      <c r="HG14" s="519"/>
      <c r="HH14" s="519"/>
      <c r="HI14" s="519"/>
      <c r="HJ14" s="519"/>
      <c r="HK14" s="519"/>
      <c r="HL14" s="519"/>
      <c r="HM14" s="519"/>
      <c r="HN14" s="519"/>
      <c r="HO14" s="519"/>
      <c r="HP14" s="519"/>
      <c r="HQ14" s="519"/>
      <c r="HR14" s="519"/>
      <c r="HS14" s="519"/>
      <c r="HT14" s="519"/>
      <c r="HU14" s="519"/>
      <c r="HV14" s="519"/>
      <c r="HW14" s="519"/>
      <c r="HX14" s="519"/>
      <c r="HY14" s="519"/>
      <c r="HZ14" s="519"/>
      <c r="IA14" s="519"/>
      <c r="IB14" s="519"/>
      <c r="IC14" s="519"/>
      <c r="ID14" s="519"/>
      <c r="IE14" s="519"/>
      <c r="IF14" s="519"/>
      <c r="IG14" s="519"/>
      <c r="IH14" s="519"/>
      <c r="II14" s="519"/>
      <c r="IJ14" s="519"/>
      <c r="IK14" s="519"/>
      <c r="IL14" s="519"/>
      <c r="IM14" s="519"/>
      <c r="IN14" s="519"/>
      <c r="IO14" s="519"/>
      <c r="IP14" s="519"/>
      <c r="IQ14" s="519"/>
      <c r="IR14" s="519"/>
      <c r="IS14" s="519"/>
      <c r="IT14" s="519"/>
      <c r="IU14" s="519"/>
      <c r="IV14" s="519"/>
      <c r="IW14" s="519"/>
    </row>
    <row r="15" customFormat="false" ht="12.75" hidden="false" customHeight="false" outlineLevel="0" collapsed="false">
      <c r="A15" s="943"/>
      <c r="C15" s="781" t="s">
        <v>879</v>
      </c>
      <c r="G15" s="923" t="n">
        <f aca="false">BS_IS!G15/BS_IS!G$17</f>
        <v>1</v>
      </c>
      <c r="H15" s="923" t="n">
        <f aca="false">BS_IS!H15/BS_IS!H$17</f>
        <v>1</v>
      </c>
      <c r="I15" s="923" t="n">
        <f aca="false">BS_IS!I15/BS_IS!I$17</f>
        <v>1</v>
      </c>
      <c r="J15" s="923" t="n">
        <f aca="false">BS_IS!J15/BS_IS!J$17</f>
        <v>0.995372445077978</v>
      </c>
      <c r="K15" s="923" t="n">
        <f aca="false">BS_IS!K15/BS_IS!K$17</f>
        <v>1.04107284404611</v>
      </c>
      <c r="L15" s="923" t="n">
        <f aca="false">BS_IS!L15/BS_IS!L$17</f>
        <v>1.10960974862468</v>
      </c>
      <c r="M15" s="923" t="n">
        <f aca="false">BS_IS!M15/BS_IS!M$17</f>
        <v>1.18109374025499</v>
      </c>
      <c r="N15" s="923" t="n">
        <f aca="false">BS_IS!N15/BS_IS!N$17</f>
        <v>1.28028940100021</v>
      </c>
      <c r="O15" s="923" t="n">
        <f aca="false">BS_IS!O15/BS_IS!O$17</f>
        <v>1.41843088174912</v>
      </c>
      <c r="P15" s="923" t="n">
        <f aca="false">BS_IS!P15/BS_IS!P$17</f>
        <v>1.60793788530208</v>
      </c>
      <c r="Q15" s="923" t="n">
        <f aca="false">BS_IS!Q15/BS_IS!Q$17</f>
        <v>1.76207888642429</v>
      </c>
      <c r="R15" s="923" t="n">
        <f aca="false">BS_IS!R15/BS_IS!R$17</f>
        <v>1.84652077412345</v>
      </c>
      <c r="S15" s="923" t="n">
        <f aca="false">BS_IS!S15/BS_IS!S$17</f>
        <v>1.92962612504465</v>
      </c>
      <c r="T15" s="923" t="n">
        <f aca="false">BS_IS!T15/BS_IS!T$17</f>
        <v>2.06782069326163</v>
      </c>
      <c r="U15" s="923" t="n">
        <f aca="false">BS_IS!U15/BS_IS!U$17</f>
        <v>2.30434580825466</v>
      </c>
      <c r="V15" s="923" t="n">
        <f aca="false">BS_IS!V15/BS_IS!V$17</f>
        <v>2.25992540339333</v>
      </c>
      <c r="W15" s="923" t="n">
        <f aca="false">BS_IS!W15/BS_IS!W$17</f>
        <v>2.06181246287128</v>
      </c>
      <c r="X15" s="923" t="n">
        <f aca="false">BS_IS!X15/BS_IS!X$17</f>
        <v>1.60168778023173</v>
      </c>
      <c r="Y15" s="923" t="n">
        <f aca="false">BS_IS!Y15/BS_IS!Y$17</f>
        <v>0.971482063441766</v>
      </c>
      <c r="Z15" s="923" t="n">
        <f aca="false">BS_IS!Z15/BS_IS!Z$17</f>
        <v>0.667053278946399</v>
      </c>
      <c r="AA15" s="923" t="n">
        <f aca="false">BS_IS!AA15/BS_IS!AA$17</f>
        <v>0.456404875068589</v>
      </c>
      <c r="AB15" s="923" t="n">
        <f aca="false">BS_IS!AB15/BS_IS!AB$17</f>
        <v>0.987557278165566</v>
      </c>
    </row>
    <row r="16" customFormat="false" ht="12.75" hidden="false" customHeight="false" outlineLevel="0" collapsed="false">
      <c r="A16" s="943"/>
      <c r="B16" s="781" t="s">
        <v>880</v>
      </c>
      <c r="G16" s="923" t="n">
        <f aca="false">BS_IS!G16/BS_IS!G$17</f>
        <v>0</v>
      </c>
      <c r="H16" s="923" t="n">
        <f aca="false">BS_IS!H16/BS_IS!H$17</f>
        <v>0</v>
      </c>
      <c r="I16" s="923" t="n">
        <f aca="false">BS_IS!I16/BS_IS!I$17</f>
        <v>0</v>
      </c>
      <c r="J16" s="923" t="n">
        <f aca="false">BS_IS!J16/BS_IS!J$17</f>
        <v>0</v>
      </c>
      <c r="K16" s="923" t="n">
        <f aca="false">BS_IS!K16/BS_IS!K$17</f>
        <v>0</v>
      </c>
      <c r="L16" s="923" t="n">
        <f aca="false">BS_IS!L16/BS_IS!L$17</f>
        <v>0</v>
      </c>
      <c r="M16" s="923" t="n">
        <f aca="false">BS_IS!M16/BS_IS!M$17</f>
        <v>0</v>
      </c>
      <c r="N16" s="923" t="n">
        <f aca="false">BS_IS!N16/BS_IS!N$17</f>
        <v>0</v>
      </c>
      <c r="O16" s="923" t="n">
        <f aca="false">BS_IS!O16/BS_IS!O$17</f>
        <v>0</v>
      </c>
      <c r="P16" s="923" t="n">
        <f aca="false">BS_IS!P16/BS_IS!P$17</f>
        <v>0</v>
      </c>
      <c r="Q16" s="923" t="n">
        <f aca="false">BS_IS!Q16/BS_IS!Q$17</f>
        <v>0</v>
      </c>
      <c r="R16" s="923" t="n">
        <f aca="false">BS_IS!R16/BS_IS!R$17</f>
        <v>0</v>
      </c>
      <c r="S16" s="923" t="n">
        <f aca="false">BS_IS!S16/BS_IS!S$17</f>
        <v>0</v>
      </c>
      <c r="T16" s="923" t="n">
        <f aca="false">BS_IS!T16/BS_IS!T$17</f>
        <v>0</v>
      </c>
      <c r="U16" s="923" t="n">
        <f aca="false">BS_IS!U16/BS_IS!U$17</f>
        <v>0</v>
      </c>
      <c r="V16" s="923" t="n">
        <f aca="false">BS_IS!V16/BS_IS!V$17</f>
        <v>0</v>
      </c>
      <c r="W16" s="923" t="n">
        <f aca="false">BS_IS!W16/BS_IS!W$17</f>
        <v>0</v>
      </c>
      <c r="X16" s="923" t="n">
        <f aca="false">BS_IS!X16/BS_IS!X$17</f>
        <v>0</v>
      </c>
      <c r="Y16" s="923" t="n">
        <f aca="false">BS_IS!Y16/BS_IS!Y$17</f>
        <v>0</v>
      </c>
      <c r="Z16" s="923" t="n">
        <f aca="false">BS_IS!Z16/BS_IS!Z$17</f>
        <v>0</v>
      </c>
      <c r="AA16" s="923" t="n">
        <f aca="false">BS_IS!AA16/BS_IS!AA$17</f>
        <v>0</v>
      </c>
      <c r="AB16" s="923" t="n">
        <f aca="false">BS_IS!AB16/BS_IS!AB$17</f>
        <v>0</v>
      </c>
    </row>
    <row r="17" customFormat="false" ht="12.75" hidden="false" customHeight="false" outlineLevel="0" collapsed="false">
      <c r="A17" s="944"/>
      <c r="B17" s="781" t="s">
        <v>881</v>
      </c>
      <c r="C17" s="519"/>
      <c r="D17" s="519"/>
      <c r="E17" s="519"/>
      <c r="F17" s="519"/>
      <c r="G17" s="923" t="n">
        <f aca="false">BS_IS!G17/BS_IS!G$17</f>
        <v>1</v>
      </c>
      <c r="H17" s="923" t="n">
        <f aca="false">BS_IS!H17/BS_IS!H$17</f>
        <v>1</v>
      </c>
      <c r="I17" s="923" t="n">
        <f aca="false">BS_IS!I17/BS_IS!I$17</f>
        <v>1</v>
      </c>
      <c r="J17" s="923" t="n">
        <f aca="false">BS_IS!J17/BS_IS!J$17</f>
        <v>1</v>
      </c>
      <c r="K17" s="923" t="n">
        <f aca="false">BS_IS!K17/BS_IS!K$17</f>
        <v>1</v>
      </c>
      <c r="L17" s="923" t="n">
        <f aca="false">BS_IS!L17/BS_IS!L$17</f>
        <v>1</v>
      </c>
      <c r="M17" s="923" t="n">
        <f aca="false">BS_IS!M17/BS_IS!M$17</f>
        <v>1</v>
      </c>
      <c r="N17" s="923" t="n">
        <f aca="false">BS_IS!N17/BS_IS!N$17</f>
        <v>1</v>
      </c>
      <c r="O17" s="923" t="n">
        <f aca="false">BS_IS!O17/BS_IS!O$17</f>
        <v>1</v>
      </c>
      <c r="P17" s="923" t="n">
        <f aca="false">BS_IS!P17/BS_IS!P$17</f>
        <v>1</v>
      </c>
      <c r="Q17" s="923" t="n">
        <f aca="false">BS_IS!Q17/BS_IS!Q$17</f>
        <v>1</v>
      </c>
      <c r="R17" s="923" t="n">
        <f aca="false">BS_IS!R17/BS_IS!R$17</f>
        <v>1</v>
      </c>
      <c r="S17" s="923" t="n">
        <f aca="false">BS_IS!S17/BS_IS!S$17</f>
        <v>1</v>
      </c>
      <c r="T17" s="923" t="n">
        <f aca="false">BS_IS!T17/BS_IS!T$17</f>
        <v>1</v>
      </c>
      <c r="U17" s="923" t="n">
        <f aca="false">BS_IS!U17/BS_IS!U$17</f>
        <v>1</v>
      </c>
      <c r="V17" s="923" t="n">
        <f aca="false">BS_IS!V17/BS_IS!V$17</f>
        <v>1</v>
      </c>
      <c r="W17" s="923" t="n">
        <f aca="false">BS_IS!W17/BS_IS!W$17</f>
        <v>1</v>
      </c>
      <c r="X17" s="923" t="n">
        <f aca="false">BS_IS!X17/BS_IS!X$17</f>
        <v>1</v>
      </c>
      <c r="Y17" s="923" t="n">
        <f aca="false">BS_IS!Y17/BS_IS!Y$17</f>
        <v>1</v>
      </c>
      <c r="Z17" s="923" t="n">
        <f aca="false">BS_IS!Z17/BS_IS!Z$17</f>
        <v>1</v>
      </c>
      <c r="AA17" s="923" t="n">
        <f aca="false">BS_IS!AA17/BS_IS!AA$17</f>
        <v>1</v>
      </c>
      <c r="AB17" s="923" t="n">
        <f aca="false">BS_IS!AB17/BS_IS!AB$17</f>
        <v>1</v>
      </c>
      <c r="AC17" s="519"/>
      <c r="AD17" s="519"/>
      <c r="AE17" s="519"/>
      <c r="AF17" s="519"/>
      <c r="AG17" s="519"/>
      <c r="AH17" s="519"/>
      <c r="AI17" s="519"/>
      <c r="AJ17" s="519"/>
      <c r="AK17" s="519"/>
      <c r="AL17" s="519"/>
      <c r="AM17" s="519"/>
      <c r="AN17" s="519"/>
      <c r="AO17" s="519"/>
      <c r="AP17" s="519"/>
      <c r="AQ17" s="519"/>
      <c r="AR17" s="519"/>
      <c r="AS17" s="519"/>
      <c r="AT17" s="519"/>
      <c r="AU17" s="519"/>
      <c r="AV17" s="519"/>
      <c r="AW17" s="519"/>
      <c r="AX17" s="519"/>
      <c r="AY17" s="519"/>
      <c r="AZ17" s="519"/>
      <c r="BA17" s="519"/>
      <c r="BB17" s="519"/>
      <c r="BC17" s="519"/>
      <c r="BD17" s="519"/>
      <c r="BE17" s="519"/>
      <c r="BF17" s="519"/>
      <c r="BG17" s="519"/>
      <c r="BH17" s="519"/>
      <c r="BI17" s="519"/>
      <c r="BJ17" s="519"/>
      <c r="BK17" s="519"/>
      <c r="BL17" s="519"/>
      <c r="BM17" s="519"/>
      <c r="BN17" s="519"/>
      <c r="BO17" s="519"/>
      <c r="BP17" s="519"/>
      <c r="BQ17" s="519"/>
      <c r="BR17" s="519"/>
      <c r="BS17" s="519"/>
      <c r="BT17" s="519"/>
      <c r="BU17" s="519"/>
      <c r="BV17" s="519"/>
      <c r="BW17" s="519"/>
      <c r="BX17" s="519"/>
      <c r="BY17" s="519"/>
      <c r="BZ17" s="519"/>
      <c r="CA17" s="519"/>
      <c r="CB17" s="519"/>
      <c r="CC17" s="519"/>
      <c r="CD17" s="519"/>
      <c r="CE17" s="519"/>
      <c r="CF17" s="519"/>
      <c r="CG17" s="519"/>
      <c r="CH17" s="519"/>
      <c r="CI17" s="519"/>
      <c r="CJ17" s="519"/>
      <c r="CK17" s="519"/>
      <c r="CL17" s="519"/>
      <c r="CM17" s="519"/>
      <c r="CN17" s="519"/>
      <c r="CO17" s="519"/>
      <c r="CP17" s="519"/>
      <c r="CQ17" s="519"/>
      <c r="CR17" s="519"/>
      <c r="CS17" s="519"/>
      <c r="CT17" s="519"/>
      <c r="CU17" s="519"/>
      <c r="CV17" s="519"/>
      <c r="CW17" s="519"/>
      <c r="CX17" s="519"/>
      <c r="CY17" s="519"/>
      <c r="CZ17" s="519"/>
      <c r="DA17" s="519"/>
      <c r="DB17" s="519"/>
      <c r="DC17" s="519"/>
      <c r="DD17" s="519"/>
      <c r="DE17" s="519"/>
      <c r="DF17" s="519"/>
      <c r="DG17" s="519"/>
      <c r="DH17" s="519"/>
      <c r="DI17" s="519"/>
      <c r="DJ17" s="519"/>
      <c r="DK17" s="519"/>
      <c r="DL17" s="519"/>
      <c r="DM17" s="519"/>
      <c r="DN17" s="519"/>
      <c r="DO17" s="519"/>
      <c r="DP17" s="519"/>
      <c r="DQ17" s="519"/>
      <c r="DR17" s="519"/>
      <c r="DS17" s="519"/>
      <c r="DT17" s="519"/>
      <c r="DU17" s="519"/>
      <c r="DV17" s="519"/>
      <c r="DW17" s="519"/>
      <c r="DX17" s="519"/>
      <c r="DY17" s="519"/>
      <c r="DZ17" s="519"/>
      <c r="EA17" s="519"/>
      <c r="EB17" s="519"/>
      <c r="EC17" s="519"/>
      <c r="ED17" s="519"/>
      <c r="EE17" s="519"/>
      <c r="EF17" s="519"/>
      <c r="EG17" s="519"/>
      <c r="EH17" s="519"/>
      <c r="EI17" s="519"/>
      <c r="EJ17" s="519"/>
      <c r="EK17" s="519"/>
      <c r="EL17" s="519"/>
      <c r="EM17" s="519"/>
      <c r="EN17" s="519"/>
      <c r="EO17" s="519"/>
      <c r="EP17" s="519"/>
      <c r="EQ17" s="519"/>
      <c r="ER17" s="519"/>
      <c r="ES17" s="519"/>
      <c r="ET17" s="519"/>
      <c r="EU17" s="519"/>
      <c r="EV17" s="519"/>
      <c r="EW17" s="519"/>
      <c r="EX17" s="519"/>
      <c r="EY17" s="519"/>
      <c r="EZ17" s="519"/>
      <c r="FA17" s="519"/>
      <c r="FB17" s="519"/>
      <c r="FC17" s="519"/>
      <c r="FD17" s="519"/>
      <c r="FE17" s="519"/>
      <c r="FF17" s="519"/>
      <c r="FG17" s="519"/>
      <c r="FH17" s="519"/>
      <c r="FI17" s="519"/>
      <c r="FJ17" s="519"/>
      <c r="FK17" s="519"/>
      <c r="FL17" s="519"/>
      <c r="FM17" s="519"/>
      <c r="FN17" s="519"/>
      <c r="FO17" s="519"/>
      <c r="FP17" s="519"/>
      <c r="FQ17" s="519"/>
      <c r="FR17" s="519"/>
      <c r="FS17" s="519"/>
      <c r="FT17" s="519"/>
      <c r="FU17" s="519"/>
      <c r="FV17" s="519"/>
      <c r="FW17" s="519"/>
      <c r="FX17" s="519"/>
      <c r="FY17" s="519"/>
      <c r="FZ17" s="519"/>
      <c r="GA17" s="519"/>
      <c r="GB17" s="519"/>
      <c r="GC17" s="519"/>
      <c r="GD17" s="519"/>
      <c r="GE17" s="519"/>
      <c r="GF17" s="519"/>
      <c r="GG17" s="519"/>
      <c r="GH17" s="519"/>
      <c r="GI17" s="519"/>
      <c r="GJ17" s="519"/>
      <c r="GK17" s="519"/>
      <c r="GL17" s="519"/>
      <c r="GM17" s="519"/>
      <c r="GN17" s="519"/>
      <c r="GO17" s="519"/>
      <c r="GP17" s="519"/>
      <c r="GQ17" s="519"/>
      <c r="GR17" s="519"/>
      <c r="GS17" s="519"/>
      <c r="GT17" s="519"/>
      <c r="GU17" s="519"/>
      <c r="GV17" s="519"/>
      <c r="GW17" s="519"/>
      <c r="GX17" s="519"/>
      <c r="GY17" s="519"/>
      <c r="GZ17" s="519"/>
      <c r="HA17" s="519"/>
      <c r="HB17" s="519"/>
      <c r="HC17" s="519"/>
      <c r="HD17" s="519"/>
      <c r="HE17" s="519"/>
      <c r="HF17" s="519"/>
      <c r="HG17" s="519"/>
      <c r="HH17" s="519"/>
      <c r="HI17" s="519"/>
      <c r="HJ17" s="519"/>
      <c r="HK17" s="519"/>
      <c r="HL17" s="519"/>
      <c r="HM17" s="519"/>
      <c r="HN17" s="519"/>
      <c r="HO17" s="519"/>
      <c r="HP17" s="519"/>
      <c r="HQ17" s="519"/>
      <c r="HR17" s="519"/>
      <c r="HS17" s="519"/>
      <c r="HT17" s="519"/>
      <c r="HU17" s="519"/>
      <c r="HV17" s="519"/>
      <c r="HW17" s="519"/>
      <c r="HX17" s="519"/>
      <c r="HY17" s="519"/>
      <c r="HZ17" s="519"/>
      <c r="IA17" s="519"/>
      <c r="IB17" s="519"/>
      <c r="IC17" s="519"/>
      <c r="ID17" s="519"/>
      <c r="IE17" s="519"/>
      <c r="IF17" s="519"/>
      <c r="IG17" s="519"/>
      <c r="IH17" s="519"/>
      <c r="II17" s="519"/>
      <c r="IJ17" s="519"/>
      <c r="IK17" s="519"/>
      <c r="IL17" s="519"/>
      <c r="IM17" s="519"/>
      <c r="IN17" s="519"/>
      <c r="IO17" s="519"/>
      <c r="IP17" s="519"/>
      <c r="IQ17" s="519"/>
      <c r="IR17" s="519"/>
      <c r="IS17" s="519"/>
      <c r="IT17" s="519"/>
      <c r="IU17" s="519"/>
      <c r="IV17" s="519"/>
      <c r="IW17" s="519"/>
    </row>
    <row r="18" customFormat="false" ht="13.5" hidden="false" customHeight="false" outlineLevel="0" collapsed="false">
      <c r="A18" s="945" t="s">
        <v>882</v>
      </c>
      <c r="B18" s="946"/>
      <c r="C18" s="946"/>
      <c r="D18" s="946"/>
      <c r="E18" s="946"/>
      <c r="F18" s="947"/>
      <c r="G18" s="947" t="n">
        <f aca="false">BS_IS!G18/BS_IS!G$17</f>
        <v>0</v>
      </c>
      <c r="H18" s="947" t="n">
        <f aca="false">BS_IS!H18/BS_IS!H$17</f>
        <v>0</v>
      </c>
      <c r="I18" s="947" t="n">
        <f aca="false">BS_IS!I18/BS_IS!I$17</f>
        <v>0</v>
      </c>
      <c r="J18" s="947" t="n">
        <f aca="false">BS_IS!J18/BS_IS!J$17</f>
        <v>0</v>
      </c>
      <c r="K18" s="947" t="n">
        <f aca="false">BS_IS!K18/BS_IS!K$17</f>
        <v>0</v>
      </c>
      <c r="L18" s="947" t="n">
        <f aca="false">BS_IS!L18/BS_IS!L$17</f>
        <v>0</v>
      </c>
      <c r="M18" s="947" t="n">
        <f aca="false">BS_IS!M18/BS_IS!M$17</f>
        <v>0</v>
      </c>
      <c r="N18" s="947" t="n">
        <f aca="false">BS_IS!N18/BS_IS!N$17</f>
        <v>0</v>
      </c>
      <c r="O18" s="947" t="n">
        <f aca="false">BS_IS!O18/BS_IS!O$17</f>
        <v>0</v>
      </c>
      <c r="P18" s="947" t="n">
        <f aca="false">BS_IS!P18/BS_IS!P$17</f>
        <v>0</v>
      </c>
      <c r="Q18" s="947" t="n">
        <f aca="false">BS_IS!Q18/BS_IS!Q$17</f>
        <v>0</v>
      </c>
      <c r="R18" s="947" t="n">
        <f aca="false">BS_IS!R18/BS_IS!R$17</f>
        <v>0</v>
      </c>
      <c r="S18" s="947" t="n">
        <f aca="false">BS_IS!S18/BS_IS!S$17</f>
        <v>0</v>
      </c>
      <c r="T18" s="947" t="n">
        <f aca="false">BS_IS!T18/BS_IS!T$17</f>
        <v>0</v>
      </c>
      <c r="U18" s="947" t="n">
        <f aca="false">BS_IS!U18/BS_IS!U$17</f>
        <v>0</v>
      </c>
      <c r="V18" s="947" t="n">
        <f aca="false">BS_IS!V18/BS_IS!V$17</f>
        <v>0</v>
      </c>
      <c r="W18" s="947" t="n">
        <f aca="false">BS_IS!W18/BS_IS!W$17</f>
        <v>0</v>
      </c>
      <c r="X18" s="947" t="n">
        <f aca="false">BS_IS!X18/BS_IS!X$17</f>
        <v>0</v>
      </c>
      <c r="Y18" s="947" t="n">
        <f aca="false">BS_IS!Y18/BS_IS!Y$17</f>
        <v>0</v>
      </c>
      <c r="Z18" s="947" t="n">
        <f aca="false">BS_IS!Z18/BS_IS!Z$17</f>
        <v>0</v>
      </c>
      <c r="AA18" s="947" t="n">
        <f aca="false">BS_IS!AA18/BS_IS!AA$17</f>
        <v>0</v>
      </c>
      <c r="AB18" s="947" t="n">
        <f aca="false">BS_IS!AB18/BS_IS!AB$17</f>
        <v>0</v>
      </c>
      <c r="AC18" s="947"/>
      <c r="AD18" s="947"/>
      <c r="AE18" s="947"/>
      <c r="AF18" s="947"/>
      <c r="AG18" s="947"/>
      <c r="AH18" s="947"/>
      <c r="AI18" s="947"/>
      <c r="AJ18" s="947"/>
      <c r="AK18" s="947"/>
      <c r="AL18" s="947"/>
      <c r="AM18" s="947"/>
      <c r="AN18" s="947"/>
      <c r="AO18" s="947"/>
      <c r="AP18" s="947"/>
      <c r="AQ18" s="947"/>
      <c r="AR18" s="947"/>
      <c r="AS18" s="947"/>
      <c r="AT18" s="947"/>
      <c r="AU18" s="947"/>
      <c r="AV18" s="947"/>
      <c r="AW18" s="947"/>
      <c r="AX18" s="947"/>
      <c r="AY18" s="947"/>
      <c r="AZ18" s="947"/>
      <c r="BA18" s="947"/>
      <c r="BB18" s="947"/>
      <c r="BC18" s="947"/>
      <c r="BD18" s="947"/>
      <c r="BE18" s="947"/>
      <c r="BF18" s="947"/>
      <c r="BG18" s="947"/>
      <c r="BH18" s="947"/>
      <c r="BI18" s="947"/>
      <c r="BJ18" s="947"/>
      <c r="BK18" s="947"/>
      <c r="BL18" s="947"/>
      <c r="BM18" s="947"/>
      <c r="BN18" s="947"/>
      <c r="BO18" s="947"/>
      <c r="BP18" s="947"/>
      <c r="BQ18" s="947"/>
      <c r="BR18" s="947"/>
      <c r="BS18" s="947"/>
      <c r="BT18" s="947"/>
      <c r="BU18" s="947"/>
      <c r="BV18" s="947"/>
      <c r="BW18" s="947"/>
      <c r="BX18" s="947"/>
      <c r="BY18" s="947"/>
      <c r="BZ18" s="947"/>
      <c r="CA18" s="947"/>
      <c r="CB18" s="947"/>
      <c r="CC18" s="947"/>
      <c r="CD18" s="947"/>
      <c r="CE18" s="947"/>
      <c r="CF18" s="947"/>
      <c r="CG18" s="947"/>
      <c r="CH18" s="947"/>
      <c r="CI18" s="947"/>
      <c r="CJ18" s="947"/>
      <c r="CK18" s="947"/>
      <c r="CL18" s="947"/>
      <c r="CM18" s="947"/>
      <c r="CN18" s="947"/>
      <c r="CO18" s="947"/>
      <c r="CP18" s="947"/>
      <c r="CQ18" s="947"/>
      <c r="CR18" s="947"/>
      <c r="CS18" s="947"/>
      <c r="CT18" s="947"/>
      <c r="CU18" s="947"/>
      <c r="CV18" s="947"/>
      <c r="CW18" s="947"/>
      <c r="CX18" s="947"/>
      <c r="CY18" s="947"/>
      <c r="CZ18" s="947"/>
      <c r="DA18" s="947"/>
      <c r="DB18" s="947"/>
      <c r="DC18" s="947"/>
      <c r="DD18" s="947"/>
      <c r="DE18" s="947"/>
      <c r="DF18" s="947"/>
      <c r="DG18" s="947"/>
      <c r="DH18" s="947"/>
      <c r="DI18" s="947"/>
      <c r="DJ18" s="947"/>
      <c r="DK18" s="947"/>
      <c r="DL18" s="947"/>
      <c r="DM18" s="947"/>
      <c r="DN18" s="947"/>
      <c r="DO18" s="947"/>
      <c r="DP18" s="947"/>
      <c r="DQ18" s="947"/>
      <c r="DR18" s="947"/>
      <c r="DS18" s="947"/>
      <c r="DT18" s="947"/>
      <c r="DU18" s="947"/>
      <c r="DV18" s="947"/>
      <c r="DW18" s="947"/>
      <c r="DX18" s="947"/>
      <c r="DY18" s="947"/>
      <c r="DZ18" s="947"/>
      <c r="EA18" s="947"/>
      <c r="EB18" s="947"/>
      <c r="EC18" s="947"/>
      <c r="ED18" s="947"/>
      <c r="EE18" s="947"/>
      <c r="EF18" s="947"/>
      <c r="EG18" s="947"/>
      <c r="EH18" s="947"/>
      <c r="EI18" s="947"/>
      <c r="EJ18" s="947"/>
      <c r="EK18" s="947"/>
      <c r="EL18" s="947"/>
      <c r="EM18" s="947"/>
      <c r="EN18" s="947"/>
      <c r="EO18" s="947"/>
      <c r="EP18" s="947"/>
      <c r="EQ18" s="947"/>
      <c r="ER18" s="947"/>
      <c r="ES18" s="947"/>
      <c r="ET18" s="947"/>
      <c r="EU18" s="947"/>
      <c r="EV18" s="947"/>
      <c r="EW18" s="947"/>
      <c r="EX18" s="947"/>
      <c r="EY18" s="947"/>
      <c r="EZ18" s="947"/>
      <c r="FA18" s="947"/>
      <c r="FB18" s="947"/>
      <c r="FC18" s="947"/>
      <c r="FD18" s="947"/>
      <c r="FE18" s="947"/>
      <c r="FF18" s="947"/>
      <c r="FG18" s="947"/>
      <c r="FH18" s="947"/>
      <c r="FI18" s="947"/>
      <c r="FJ18" s="947"/>
      <c r="FK18" s="947"/>
      <c r="FL18" s="947"/>
      <c r="FM18" s="947"/>
      <c r="FN18" s="947"/>
      <c r="FO18" s="947"/>
      <c r="FP18" s="947"/>
      <c r="FQ18" s="947"/>
      <c r="FR18" s="947"/>
      <c r="FS18" s="947"/>
      <c r="FT18" s="947"/>
      <c r="FU18" s="947"/>
      <c r="FV18" s="947"/>
      <c r="FW18" s="947"/>
      <c r="FX18" s="947"/>
      <c r="FY18" s="947"/>
      <c r="FZ18" s="947"/>
      <c r="GA18" s="947"/>
      <c r="GB18" s="947"/>
      <c r="GC18" s="947"/>
      <c r="GD18" s="947"/>
      <c r="GE18" s="947"/>
      <c r="GF18" s="947"/>
      <c r="GG18" s="947"/>
      <c r="GH18" s="947"/>
      <c r="GI18" s="947"/>
      <c r="GJ18" s="947"/>
      <c r="GK18" s="947"/>
      <c r="GL18" s="947"/>
      <c r="GM18" s="947"/>
      <c r="GN18" s="947"/>
      <c r="GO18" s="947"/>
      <c r="GP18" s="947"/>
      <c r="GQ18" s="947"/>
      <c r="GR18" s="947"/>
      <c r="GS18" s="947"/>
      <c r="GT18" s="947"/>
      <c r="GU18" s="947"/>
      <c r="GV18" s="947"/>
      <c r="GW18" s="947"/>
      <c r="GX18" s="947"/>
      <c r="GY18" s="947"/>
      <c r="GZ18" s="947"/>
      <c r="HA18" s="947"/>
      <c r="HB18" s="947"/>
      <c r="HC18" s="947"/>
      <c r="HD18" s="947"/>
      <c r="HE18" s="947"/>
      <c r="HF18" s="947"/>
      <c r="HG18" s="947"/>
      <c r="HH18" s="947"/>
      <c r="HI18" s="947"/>
      <c r="HJ18" s="947"/>
      <c r="HK18" s="947"/>
      <c r="HL18" s="947"/>
      <c r="HM18" s="947"/>
      <c r="HN18" s="947"/>
      <c r="HO18" s="947"/>
      <c r="HP18" s="947"/>
      <c r="HQ18" s="947"/>
      <c r="HR18" s="947"/>
      <c r="HS18" s="947"/>
      <c r="HT18" s="947"/>
      <c r="HU18" s="947"/>
      <c r="HV18" s="947"/>
      <c r="HW18" s="947"/>
      <c r="HX18" s="947"/>
      <c r="HY18" s="947"/>
      <c r="HZ18" s="947"/>
      <c r="IA18" s="947"/>
      <c r="IB18" s="947"/>
      <c r="IC18" s="947"/>
      <c r="ID18" s="947"/>
      <c r="IE18" s="947"/>
      <c r="IF18" s="947"/>
      <c r="IG18" s="947"/>
      <c r="IH18" s="947"/>
      <c r="II18" s="947"/>
      <c r="IJ18" s="947"/>
      <c r="IK18" s="947"/>
      <c r="IL18" s="947"/>
      <c r="IM18" s="947"/>
      <c r="IN18" s="947"/>
      <c r="IO18" s="947"/>
      <c r="IP18" s="947"/>
      <c r="IQ18" s="947"/>
      <c r="IR18" s="947"/>
      <c r="IS18" s="947"/>
      <c r="IT18" s="947"/>
      <c r="IU18" s="947"/>
      <c r="IV18" s="947"/>
      <c r="IW18" s="947"/>
    </row>
    <row r="19" customFormat="false" ht="13.5" hidden="false" customHeight="false" outlineLevel="0" collapsed="false">
      <c r="A19" s="943"/>
    </row>
    <row r="20" customFormat="false" ht="12.75" hidden="false" customHeight="false" outlineLevel="0" collapsed="false">
      <c r="A20" s="948" t="s">
        <v>883</v>
      </c>
    </row>
    <row r="21" customFormat="false" ht="12.75" hidden="false" customHeight="false" outlineLevel="0" collapsed="false">
      <c r="A21" s="943"/>
      <c r="B21" s="781" t="s">
        <v>884</v>
      </c>
      <c r="G21" s="923" t="n">
        <f aca="false">BS_IS!G20/BS_IS!G$33</f>
        <v>0</v>
      </c>
      <c r="H21" s="923" t="n">
        <f aca="false">BS_IS!H20/BS_IS!H$33</f>
        <v>0</v>
      </c>
      <c r="I21" s="923" t="n">
        <f aca="false">BS_IS!I20/BS_IS!I$33</f>
        <v>0</v>
      </c>
      <c r="J21" s="923" t="n">
        <f aca="false">BS_IS!J20/BS_IS!J$33</f>
        <v>0</v>
      </c>
      <c r="K21" s="923" t="n">
        <f aca="false">BS_IS!K20/BS_IS!K$33</f>
        <v>0</v>
      </c>
      <c r="L21" s="923" t="n">
        <f aca="false">BS_IS!L20/BS_IS!L$33</f>
        <v>0</v>
      </c>
      <c r="M21" s="923" t="n">
        <f aca="false">BS_IS!M20/BS_IS!M$33</f>
        <v>0</v>
      </c>
      <c r="N21" s="923" t="n">
        <f aca="false">BS_IS!N20/BS_IS!N$33</f>
        <v>0</v>
      </c>
      <c r="O21" s="923" t="n">
        <f aca="false">BS_IS!O20/BS_IS!O$33</f>
        <v>0</v>
      </c>
      <c r="P21" s="923" t="n">
        <f aca="false">BS_IS!P20/BS_IS!P$33</f>
        <v>0</v>
      </c>
      <c r="Q21" s="923" t="n">
        <f aca="false">BS_IS!Q20/BS_IS!Q$33</f>
        <v>0</v>
      </c>
      <c r="R21" s="923" t="n">
        <f aca="false">BS_IS!R20/BS_IS!R$33</f>
        <v>0</v>
      </c>
      <c r="S21" s="923" t="n">
        <f aca="false">BS_IS!S20/BS_IS!S$33</f>
        <v>0</v>
      </c>
      <c r="T21" s="923" t="n">
        <f aca="false">BS_IS!T20/BS_IS!T$33</f>
        <v>0</v>
      </c>
      <c r="U21" s="923" t="n">
        <f aca="false">BS_IS!U20/BS_IS!U$33</f>
        <v>0</v>
      </c>
      <c r="V21" s="923" t="n">
        <f aca="false">BS_IS!V20/BS_IS!V$33</f>
        <v>0</v>
      </c>
      <c r="W21" s="923" t="n">
        <f aca="false">BS_IS!W20/BS_IS!W$33</f>
        <v>0</v>
      </c>
      <c r="X21" s="923" t="n">
        <f aca="false">BS_IS!X20/BS_IS!X$33</f>
        <v>0</v>
      </c>
      <c r="Y21" s="923" t="n">
        <f aca="false">BS_IS!Y20/BS_IS!Y$33</f>
        <v>0</v>
      </c>
      <c r="Z21" s="923" t="n">
        <f aca="false">BS_IS!Z20/BS_IS!Z$33</f>
        <v>0</v>
      </c>
      <c r="AA21" s="923" t="n">
        <f aca="false">BS_IS!AA20/BS_IS!AA$33</f>
        <v>0</v>
      </c>
      <c r="AB21" s="923" t="n">
        <f aca="false">BS_IS!AB20/BS_IS!AB$33</f>
        <v>0</v>
      </c>
    </row>
    <row r="22" customFormat="false" ht="12.75" hidden="false" customHeight="false" outlineLevel="0" collapsed="false">
      <c r="A22" s="943"/>
      <c r="B22" s="781" t="s">
        <v>885</v>
      </c>
      <c r="G22" s="923" t="n">
        <f aca="false">BS_IS!G21/BS_IS!G$33</f>
        <v>0</v>
      </c>
      <c r="H22" s="923" t="n">
        <f aca="false">BS_IS!H21/BS_IS!H$33</f>
        <v>0.483031607891858</v>
      </c>
      <c r="I22" s="923" t="n">
        <f aca="false">BS_IS!I21/BS_IS!I$33</f>
        <v>0</v>
      </c>
      <c r="J22" s="923" t="n">
        <f aca="false">BS_IS!J21/BS_IS!J$33</f>
        <v>0</v>
      </c>
      <c r="K22" s="923" t="n">
        <f aca="false">BS_IS!K21/BS_IS!K$33</f>
        <v>0</v>
      </c>
      <c r="L22" s="923" t="n">
        <f aca="false">BS_IS!L21/BS_IS!L$33</f>
        <v>0</v>
      </c>
      <c r="M22" s="923" t="n">
        <f aca="false">BS_IS!M21/BS_IS!M$33</f>
        <v>0</v>
      </c>
      <c r="N22" s="923" t="n">
        <f aca="false">BS_IS!N21/BS_IS!N$33</f>
        <v>0</v>
      </c>
      <c r="O22" s="923" t="n">
        <f aca="false">BS_IS!O21/BS_IS!O$33</f>
        <v>0</v>
      </c>
      <c r="P22" s="923" t="n">
        <f aca="false">BS_IS!P21/BS_IS!P$33</f>
        <v>0</v>
      </c>
      <c r="Q22" s="923" t="n">
        <f aca="false">BS_IS!Q21/BS_IS!Q$33</f>
        <v>0</v>
      </c>
      <c r="R22" s="923" t="n">
        <f aca="false">BS_IS!R21/BS_IS!R$33</f>
        <v>0</v>
      </c>
      <c r="S22" s="923" t="n">
        <f aca="false">BS_IS!S21/BS_IS!S$33</f>
        <v>0</v>
      </c>
      <c r="T22" s="923" t="n">
        <f aca="false">BS_IS!T21/BS_IS!T$33</f>
        <v>0</v>
      </c>
      <c r="U22" s="923" t="n">
        <f aca="false">BS_IS!U21/BS_IS!U$33</f>
        <v>0</v>
      </c>
      <c r="V22" s="923" t="n">
        <f aca="false">BS_IS!V21/BS_IS!V$33</f>
        <v>0</v>
      </c>
      <c r="W22" s="923" t="n">
        <f aca="false">BS_IS!W21/BS_IS!W$33</f>
        <v>0</v>
      </c>
      <c r="X22" s="923" t="n">
        <f aca="false">BS_IS!X21/BS_IS!X$33</f>
        <v>0</v>
      </c>
      <c r="Y22" s="923" t="n">
        <f aca="false">BS_IS!Y21/BS_IS!Y$33</f>
        <v>0</v>
      </c>
      <c r="Z22" s="923" t="n">
        <f aca="false">BS_IS!Z21/BS_IS!Z$33</f>
        <v>0</v>
      </c>
      <c r="AA22" s="923" t="n">
        <f aca="false">BS_IS!AA21/BS_IS!AA$33</f>
        <v>0</v>
      </c>
      <c r="AB22" s="923" t="n">
        <f aca="false">BS_IS!AB21/BS_IS!AB$33</f>
        <v>0</v>
      </c>
    </row>
    <row r="23" customFormat="false" ht="12.75" hidden="false" customHeight="false" outlineLevel="0" collapsed="false">
      <c r="A23" s="943"/>
      <c r="B23" s="781" t="s">
        <v>265</v>
      </c>
      <c r="G23" s="923" t="n">
        <f aca="false">BS_IS!G22/BS_IS!G$33</f>
        <v>0</v>
      </c>
      <c r="H23" s="923" t="n">
        <f aca="false">BS_IS!H22/BS_IS!H$33</f>
        <v>0</v>
      </c>
      <c r="I23" s="923" t="n">
        <f aca="false">BS_IS!I22/BS_IS!I$33</f>
        <v>0.597246314007731</v>
      </c>
      <c r="J23" s="923" t="n">
        <f aca="false">BS_IS!J22/BS_IS!J$33</f>
        <v>0.623909459938208</v>
      </c>
      <c r="K23" s="923" t="n">
        <f aca="false">BS_IS!K22/BS_IS!K$33</f>
        <v>0.67814923727424</v>
      </c>
      <c r="L23" s="923" t="n">
        <f aca="false">BS_IS!L22/BS_IS!L$33</f>
        <v>0.74515186154201</v>
      </c>
      <c r="M23" s="923" t="n">
        <f aca="false">BS_IS!M22/BS_IS!M$33</f>
        <v>0.779524835709477</v>
      </c>
      <c r="N23" s="923" t="n">
        <f aca="false">BS_IS!N22/BS_IS!N$33</f>
        <v>0.808745833921395</v>
      </c>
      <c r="O23" s="923" t="n">
        <f aca="false">BS_IS!O22/BS_IS!O$33</f>
        <v>0.835684557292855</v>
      </c>
      <c r="P23" s="923" t="n">
        <f aca="false">BS_IS!P22/BS_IS!P$33</f>
        <v>0.857560433036917</v>
      </c>
      <c r="Q23" s="923" t="n">
        <f aca="false">BS_IS!Q22/BS_IS!Q$33</f>
        <v>0.871498556167242</v>
      </c>
      <c r="R23" s="923" t="n">
        <f aca="false">BS_IS!R22/BS_IS!R$33</f>
        <v>0.88175139395411</v>
      </c>
      <c r="S23" s="923" t="n">
        <f aca="false">BS_IS!S22/BS_IS!S$33</f>
        <v>0.882028960803272</v>
      </c>
      <c r="T23" s="923" t="n">
        <f aca="false">BS_IS!T22/BS_IS!T$33</f>
        <v>0.857710466516695</v>
      </c>
      <c r="U23" s="923" t="n">
        <f aca="false">BS_IS!U22/BS_IS!U$33</f>
        <v>0.789362900262457</v>
      </c>
      <c r="V23" s="923" t="n">
        <f aca="false">BS_IS!V22/BS_IS!V$33</f>
        <v>0.565342228998169</v>
      </c>
      <c r="W23" s="923" t="n">
        <f aca="false">BS_IS!W22/BS_IS!W$33</f>
        <v>0.251448447920616</v>
      </c>
      <c r="X23" s="923" t="n">
        <f aca="false">BS_IS!X22/BS_IS!X$33</f>
        <v>0</v>
      </c>
      <c r="Y23" s="923" t="n">
        <f aca="false">BS_IS!Y22/BS_IS!Y$33</f>
        <v>0</v>
      </c>
      <c r="Z23" s="923" t="n">
        <f aca="false">BS_IS!Z22/BS_IS!Z$33</f>
        <v>0</v>
      </c>
      <c r="AA23" s="923" t="n">
        <f aca="false">BS_IS!AA22/BS_IS!AA$33</f>
        <v>0</v>
      </c>
      <c r="AB23" s="923" t="n">
        <f aca="false">BS_IS!AB22/BS_IS!AB$33</f>
        <v>0</v>
      </c>
    </row>
    <row r="24" customFormat="false" ht="12.75" hidden="false" customHeight="false" outlineLevel="0" collapsed="false">
      <c r="A24" s="943"/>
      <c r="B24" s="781" t="s">
        <v>268</v>
      </c>
      <c r="G24" s="519" t="n">
        <f aca="false">BS_IS!G23/BS_IS!G$33</f>
        <v>0</v>
      </c>
      <c r="H24" s="519" t="n">
        <f aca="false">BS_IS!H23/BS_IS!H$33</f>
        <v>0</v>
      </c>
      <c r="I24" s="519" t="n">
        <f aca="false">BS_IS!I23/BS_IS!I$33</f>
        <v>0.169045402508882</v>
      </c>
      <c r="J24" s="519" t="n">
        <f aca="false">BS_IS!J23/BS_IS!J$33</f>
        <v>0.176592175306399</v>
      </c>
      <c r="K24" s="519" t="n">
        <f aca="false">BS_IS!K23/BS_IS!K$33</f>
        <v>0.186138453311826</v>
      </c>
      <c r="L24" s="519" t="n">
        <f aca="false">BS_IS!L23/BS_IS!L$33</f>
        <v>0.198782776261222</v>
      </c>
      <c r="M24" s="519" t="n">
        <f aca="false">BS_IS!M23/BS_IS!M$33</f>
        <v>0.210361625784985</v>
      </c>
      <c r="N24" s="519" t="n">
        <f aca="false">BS_IS!N23/BS_IS!N$33</f>
        <v>0.224303181652125</v>
      </c>
      <c r="O24" s="519" t="n">
        <f aca="false">BS_IS!O23/BS_IS!O$33</f>
        <v>0.240807651990202</v>
      </c>
      <c r="P24" s="519" t="n">
        <f aca="false">BS_IS!P23/BS_IS!P$33</f>
        <v>0.25879693148277</v>
      </c>
      <c r="Q24" s="519" t="n">
        <f aca="false">BS_IS!Q23/BS_IS!Q$33</f>
        <v>0.259949757875548</v>
      </c>
      <c r="R24" s="519" t="n">
        <f aca="false">BS_IS!R23/BS_IS!R$33</f>
        <v>0.235979574172996</v>
      </c>
      <c r="S24" s="519" t="n">
        <f aca="false">BS_IS!S23/BS_IS!S$33</f>
        <v>0.191674298318019</v>
      </c>
      <c r="T24" s="519" t="n">
        <f aca="false">BS_IS!T23/BS_IS!T$33</f>
        <v>0.121068105634024</v>
      </c>
      <c r="U24" s="519" t="n">
        <f aca="false">BS_IS!U23/BS_IS!U$33</f>
        <v>0</v>
      </c>
      <c r="V24" s="519" t="n">
        <f aca="false">BS_IS!V23/BS_IS!V$33</f>
        <v>0</v>
      </c>
      <c r="W24" s="519" t="n">
        <f aca="false">BS_IS!W23/BS_IS!W$33</f>
        <v>0</v>
      </c>
      <c r="X24" s="519" t="n">
        <f aca="false">BS_IS!X23/BS_IS!X$33</f>
        <v>0</v>
      </c>
      <c r="Y24" s="519" t="n">
        <f aca="false">BS_IS!Y23/BS_IS!Y$33</f>
        <v>0</v>
      </c>
      <c r="Z24" s="519" t="n">
        <f aca="false">BS_IS!Z23/BS_IS!Z$33</f>
        <v>0</v>
      </c>
      <c r="AA24" s="519" t="n">
        <f aca="false">BS_IS!AA23/BS_IS!AA$33</f>
        <v>0</v>
      </c>
      <c r="AB24" s="519" t="n">
        <f aca="false">BS_IS!AB23/BS_IS!AB$33</f>
        <v>0</v>
      </c>
    </row>
    <row r="25" customFormat="false" ht="12.75" hidden="false" customHeight="false" outlineLevel="0" collapsed="false">
      <c r="A25" s="943"/>
      <c r="C25" s="781" t="s">
        <v>886</v>
      </c>
      <c r="G25" s="923" t="n">
        <f aca="false">BS_IS!G24/BS_IS!G$33</f>
        <v>0</v>
      </c>
      <c r="H25" s="923" t="n">
        <f aca="false">BS_IS!H24/BS_IS!H$33</f>
        <v>0.483031607891858</v>
      </c>
      <c r="I25" s="923" t="n">
        <f aca="false">BS_IS!I24/BS_IS!I$33</f>
        <v>0.766291716516614</v>
      </c>
      <c r="J25" s="923" t="n">
        <f aca="false">BS_IS!J24/BS_IS!J$33</f>
        <v>0.800501635244606</v>
      </c>
      <c r="K25" s="923" t="n">
        <f aca="false">BS_IS!K24/BS_IS!K$33</f>
        <v>0.864287690586065</v>
      </c>
      <c r="L25" s="923" t="n">
        <f aca="false">BS_IS!L24/BS_IS!L$33</f>
        <v>0.943934637803232</v>
      </c>
      <c r="M25" s="923" t="n">
        <f aca="false">BS_IS!M24/BS_IS!M$33</f>
        <v>0.989886461494462</v>
      </c>
      <c r="N25" s="923" t="n">
        <f aca="false">BS_IS!N24/BS_IS!N$33</f>
        <v>1.03304901557352</v>
      </c>
      <c r="O25" s="923" t="n">
        <f aca="false">BS_IS!O24/BS_IS!O$33</f>
        <v>1.07649220928306</v>
      </c>
      <c r="P25" s="923" t="n">
        <f aca="false">BS_IS!P24/BS_IS!P$33</f>
        <v>1.11635736451969</v>
      </c>
      <c r="Q25" s="923" t="n">
        <f aca="false">BS_IS!Q24/BS_IS!Q$33</f>
        <v>1.13144831404279</v>
      </c>
      <c r="R25" s="923" t="n">
        <f aca="false">BS_IS!R24/BS_IS!R$33</f>
        <v>1.11773096812711</v>
      </c>
      <c r="S25" s="923" t="n">
        <f aca="false">BS_IS!S24/BS_IS!S$33</f>
        <v>1.07370325912129</v>
      </c>
      <c r="T25" s="923" t="n">
        <f aca="false">BS_IS!T24/BS_IS!T$33</f>
        <v>0.97877857215072</v>
      </c>
      <c r="U25" s="923" t="n">
        <f aca="false">BS_IS!U24/BS_IS!U$33</f>
        <v>0.789362900262457</v>
      </c>
      <c r="V25" s="923" t="n">
        <f aca="false">BS_IS!V24/BS_IS!V$33</f>
        <v>0.565342228998169</v>
      </c>
      <c r="W25" s="923" t="n">
        <f aca="false">BS_IS!W24/BS_IS!W$33</f>
        <v>0.251448447920616</v>
      </c>
      <c r="X25" s="923" t="n">
        <f aca="false">BS_IS!X24/BS_IS!X$33</f>
        <v>0</v>
      </c>
      <c r="Y25" s="923" t="n">
        <f aca="false">BS_IS!Y24/BS_IS!Y$33</f>
        <v>0</v>
      </c>
      <c r="Z25" s="923" t="n">
        <f aca="false">BS_IS!Z24/BS_IS!Z$33</f>
        <v>0</v>
      </c>
      <c r="AA25" s="923" t="n">
        <f aca="false">BS_IS!AA24/BS_IS!AA$33</f>
        <v>0</v>
      </c>
      <c r="AB25" s="923" t="n">
        <f aca="false">BS_IS!AB24/BS_IS!AB$33</f>
        <v>0</v>
      </c>
    </row>
    <row r="26" customFormat="false" ht="12.75" hidden="false" customHeight="false" outlineLevel="0" collapsed="false">
      <c r="A26" s="943"/>
    </row>
    <row r="27" customFormat="false" ht="12.75" hidden="false" customHeight="false" outlineLevel="0" collapsed="false">
      <c r="A27" s="948" t="s">
        <v>887</v>
      </c>
      <c r="G27" s="923" t="n">
        <f aca="false">BS_IS!G26/BS_IS!G$33</f>
        <v>0</v>
      </c>
      <c r="H27" s="923" t="n">
        <f aca="false">BS_IS!H26/BS_IS!H$33</f>
        <v>0</v>
      </c>
      <c r="I27" s="923" t="n">
        <f aca="false">BS_IS!I26/BS_IS!I$33</f>
        <v>0</v>
      </c>
      <c r="J27" s="923" t="n">
        <f aca="false">BS_IS!J26/BS_IS!J$33</f>
        <v>0</v>
      </c>
      <c r="K27" s="923" t="n">
        <f aca="false">BS_IS!K26/BS_IS!K$33</f>
        <v>0</v>
      </c>
      <c r="L27" s="923" t="n">
        <f aca="false">BS_IS!L26/BS_IS!L$33</f>
        <v>0</v>
      </c>
      <c r="M27" s="923" t="n">
        <f aca="false">BS_IS!M26/BS_IS!M$33</f>
        <v>0</v>
      </c>
      <c r="N27" s="923" t="n">
        <f aca="false">BS_IS!N26/BS_IS!N$33</f>
        <v>0</v>
      </c>
      <c r="O27" s="923" t="n">
        <f aca="false">BS_IS!O26/BS_IS!O$33</f>
        <v>0</v>
      </c>
      <c r="P27" s="923" t="n">
        <f aca="false">BS_IS!P26/BS_IS!P$33</f>
        <v>0</v>
      </c>
      <c r="Q27" s="923" t="n">
        <f aca="false">BS_IS!Q26/BS_IS!Q$33</f>
        <v>0</v>
      </c>
      <c r="R27" s="923" t="n">
        <f aca="false">BS_IS!R26/BS_IS!R$33</f>
        <v>0</v>
      </c>
      <c r="S27" s="923" t="n">
        <f aca="false">BS_IS!S26/BS_IS!S$33</f>
        <v>0</v>
      </c>
      <c r="T27" s="923" t="n">
        <f aca="false">BS_IS!T26/BS_IS!T$33</f>
        <v>0</v>
      </c>
      <c r="U27" s="923" t="n">
        <f aca="false">BS_IS!U26/BS_IS!U$33</f>
        <v>0</v>
      </c>
      <c r="V27" s="923" t="n">
        <f aca="false">BS_IS!V26/BS_IS!V$33</f>
        <v>0</v>
      </c>
      <c r="W27" s="923" t="n">
        <f aca="false">BS_IS!W26/BS_IS!W$33</f>
        <v>0</v>
      </c>
      <c r="X27" s="923" t="n">
        <f aca="false">BS_IS!X26/BS_IS!X$33</f>
        <v>0</v>
      </c>
      <c r="Y27" s="923" t="n">
        <f aca="false">BS_IS!Y26/BS_IS!Y$33</f>
        <v>0</v>
      </c>
      <c r="Z27" s="923" t="n">
        <f aca="false">BS_IS!Z26/BS_IS!Z$33</f>
        <v>0</v>
      </c>
      <c r="AA27" s="923" t="n">
        <f aca="false">BS_IS!AA26/BS_IS!AA$33</f>
        <v>0</v>
      </c>
      <c r="AB27" s="923" t="n">
        <f aca="false">BS_IS!AB26/BS_IS!AB$33</f>
        <v>0</v>
      </c>
    </row>
    <row r="28" customFormat="false" ht="12.75" hidden="false" customHeight="false" outlineLevel="0" collapsed="false">
      <c r="A28" s="943"/>
      <c r="B28" s="781" t="s">
        <v>888</v>
      </c>
      <c r="G28" s="923" t="n">
        <f aca="false">BS_IS!G27/BS_IS!G$33</f>
        <v>1</v>
      </c>
      <c r="H28" s="923" t="n">
        <f aca="false">BS_IS!H27/BS_IS!H$33</f>
        <v>0.516968392108142</v>
      </c>
      <c r="I28" s="923" t="n">
        <f aca="false">BS_IS!I27/BS_IS!I$33</f>
        <v>0.233708283483387</v>
      </c>
      <c r="J28" s="923" t="n">
        <f aca="false">BS_IS!J27/BS_IS!J$33</f>
        <v>0.239347464652406</v>
      </c>
      <c r="K28" s="923" t="n">
        <f aca="false">BS_IS!K27/BS_IS!K$33</f>
        <v>0.264116587963447</v>
      </c>
      <c r="L28" s="923" t="n">
        <f aca="false">BS_IS!L27/BS_IS!L$33</f>
        <v>0.297902464969458</v>
      </c>
      <c r="M28" s="923" t="n">
        <f aca="false">BS_IS!M27/BS_IS!M$33</f>
        <v>0.336708198655052</v>
      </c>
      <c r="N28" s="923" t="n">
        <f aca="false">BS_IS!N27/BS_IS!N$33</f>
        <v>0.389052146409504</v>
      </c>
      <c r="O28" s="923" t="n">
        <f aca="false">BS_IS!O27/BS_IS!O$33</f>
        <v>0.461456013790299</v>
      </c>
      <c r="P28" s="923" t="n">
        <f aca="false">BS_IS!P27/BS_IS!P$33</f>
        <v>0.562837771040011</v>
      </c>
      <c r="Q28" s="923" t="n">
        <f aca="false">BS_IS!Q27/BS_IS!Q$33</f>
        <v>0.667488127119645</v>
      </c>
      <c r="R28" s="923" t="n">
        <f aca="false">BS_IS!R27/BS_IS!R$33</f>
        <v>0.762114901056474</v>
      </c>
      <c r="S28" s="923" t="n">
        <f aca="false">BS_IS!S27/BS_IS!S$33</f>
        <v>0.874750890361936</v>
      </c>
      <c r="T28" s="923" t="n">
        <f aca="false">BS_IS!T27/BS_IS!T$33</f>
        <v>1.03965978517639</v>
      </c>
      <c r="U28" s="923" t="n">
        <f aca="false">BS_IS!U27/BS_IS!U$33</f>
        <v>1.30044692204755</v>
      </c>
      <c r="V28" s="923" t="n">
        <f aca="false">BS_IS!V27/BS_IS!V$33</f>
        <v>1.45333825830038</v>
      </c>
      <c r="W28" s="923" t="n">
        <f aca="false">BS_IS!W27/BS_IS!W$33</f>
        <v>1.54094981208621</v>
      </c>
      <c r="X28" s="923" t="n">
        <f aca="false">BS_IS!X27/BS_IS!X$33</f>
        <v>1.42875323330774</v>
      </c>
      <c r="Y28" s="923" t="n">
        <f aca="false">BS_IS!Y27/BS_IS!Y$33</f>
        <v>1.07457278122718</v>
      </c>
      <c r="Z28" s="923" t="n">
        <f aca="false">BS_IS!Z27/BS_IS!Z$33</f>
        <v>0.970840712239999</v>
      </c>
      <c r="AA28" s="923" t="n">
        <f aca="false">BS_IS!AA27/BS_IS!AA$33</f>
        <v>0.970840712239999</v>
      </c>
      <c r="AB28" s="923" t="n">
        <f aca="false">BS_IS!AB27/BS_IS!AB$33</f>
        <v>2.48262238358663</v>
      </c>
    </row>
    <row r="29" customFormat="false" ht="12.75" hidden="false" customHeight="false" outlineLevel="0" collapsed="false">
      <c r="A29" s="943"/>
      <c r="B29" s="781" t="s">
        <v>529</v>
      </c>
      <c r="G29" s="923" t="n">
        <f aca="false">BS_IS!G28/BS_IS!G$33</f>
        <v>0</v>
      </c>
      <c r="H29" s="923" t="n">
        <f aca="false">BS_IS!H28/BS_IS!H$33</f>
        <v>0</v>
      </c>
      <c r="I29" s="923" t="n">
        <f aca="false">BS_IS!I28/BS_IS!I$33</f>
        <v>0</v>
      </c>
      <c r="J29" s="923" t="n">
        <f aca="false">BS_IS!J28/BS_IS!J$33</f>
        <v>0</v>
      </c>
      <c r="K29" s="923" t="n">
        <f aca="false">BS_IS!K28/BS_IS!K$33</f>
        <v>0</v>
      </c>
      <c r="L29" s="923" t="n">
        <f aca="false">BS_IS!L28/BS_IS!L$33</f>
        <v>0</v>
      </c>
      <c r="M29" s="923" t="n">
        <f aca="false">BS_IS!M28/BS_IS!M$33</f>
        <v>0</v>
      </c>
      <c r="N29" s="923" t="n">
        <f aca="false">BS_IS!N28/BS_IS!N$33</f>
        <v>0</v>
      </c>
      <c r="O29" s="923" t="n">
        <f aca="false">BS_IS!O28/BS_IS!O$33</f>
        <v>0</v>
      </c>
      <c r="P29" s="923" t="n">
        <f aca="false">BS_IS!P28/BS_IS!P$33</f>
        <v>0</v>
      </c>
      <c r="Q29" s="923" t="n">
        <f aca="false">BS_IS!Q28/BS_IS!Q$33</f>
        <v>0.00109851871674239</v>
      </c>
      <c r="R29" s="923" t="n">
        <f aca="false">BS_IS!R28/BS_IS!R$33</f>
        <v>0.00368584016025556</v>
      </c>
      <c r="S29" s="923" t="n">
        <f aca="false">BS_IS!S28/BS_IS!S$33</f>
        <v>0.00443009860405478</v>
      </c>
      <c r="T29" s="923" t="n">
        <f aca="false">BS_IS!T28/BS_IS!T$33</f>
        <v>0.00927501906754017</v>
      </c>
      <c r="U29" s="923" t="n">
        <f aca="false">BS_IS!U28/BS_IS!U$33</f>
        <v>0.0130303774192683</v>
      </c>
      <c r="V29" s="923" t="n">
        <f aca="false">BS_IS!V28/BS_IS!V$33</f>
        <v>0.021479247378113</v>
      </c>
      <c r="W29" s="923" t="n">
        <f aca="false">BS_IS!W28/BS_IS!W$33</f>
        <v>0.0235084853349701</v>
      </c>
      <c r="X29" s="923" t="n">
        <f aca="false">BS_IS!X28/BS_IS!X$33</f>
        <v>0.0211158991826065</v>
      </c>
      <c r="Y29" s="923" t="n">
        <f aca="false">BS_IS!Y28/BS_IS!Y$33</f>
        <v>0.0163935115022577</v>
      </c>
      <c r="Z29" s="923" t="n">
        <f aca="false">BS_IS!Z28/BS_IS!Z$33</f>
        <v>0.0291592877600009</v>
      </c>
      <c r="AA29" s="923" t="n">
        <f aca="false">BS_IS!AA28/BS_IS!AA$33</f>
        <v>0.0291592877600009</v>
      </c>
      <c r="AB29" s="923" t="n">
        <f aca="false">BS_IS!AB28/BS_IS!AB$33</f>
        <v>0.0745657856842389</v>
      </c>
    </row>
    <row r="30" customFormat="false" ht="12.75" hidden="false" customHeight="false" outlineLevel="0" collapsed="false">
      <c r="A30" s="943"/>
      <c r="B30" s="781" t="s">
        <v>889</v>
      </c>
      <c r="G30" s="923" t="n">
        <f aca="false">BS_IS!G29/BS_IS!G$33</f>
        <v>0</v>
      </c>
      <c r="H30" s="923" t="n">
        <f aca="false">BS_IS!H29/BS_IS!H$33</f>
        <v>0</v>
      </c>
      <c r="I30" s="923" t="n">
        <f aca="false">BS_IS!I29/BS_IS!I$33</f>
        <v>0</v>
      </c>
      <c r="J30" s="923" t="n">
        <f aca="false">BS_IS!J29/BS_IS!J$33</f>
        <v>-0.0398490998970127</v>
      </c>
      <c r="K30" s="923" t="n">
        <f aca="false">BS_IS!K29/BS_IS!K$33</f>
        <v>-0.128404278549513</v>
      </c>
      <c r="L30" s="923" t="n">
        <f aca="false">BS_IS!L29/BS_IS!L$33</f>
        <v>-0.24183710277269</v>
      </c>
      <c r="M30" s="923" t="n">
        <f aca="false">BS_IS!M29/BS_IS!M$33</f>
        <v>-0.326594660149514</v>
      </c>
      <c r="N30" s="923" t="n">
        <f aca="false">BS_IS!N29/BS_IS!N$33</f>
        <v>-0.422101161983024</v>
      </c>
      <c r="O30" s="923" t="n">
        <f aca="false">BS_IS!O29/BS_IS!O$33</f>
        <v>-0.537948223073356</v>
      </c>
      <c r="P30" s="923" t="n">
        <f aca="false">BS_IS!P29/BS_IS!P$33</f>
        <v>-0.679195135559698</v>
      </c>
      <c r="Q30" s="923" t="n">
        <f aca="false">BS_IS!Q29/BS_IS!Q$33</f>
        <v>-0.800034959879178</v>
      </c>
      <c r="R30" s="923" t="n">
        <f aca="false">BS_IS!R29/BS_IS!R$33</f>
        <v>-0.883531709343836</v>
      </c>
      <c r="S30" s="923" t="n">
        <f aca="false">BS_IS!S29/BS_IS!S$33</f>
        <v>-0.952884248087281</v>
      </c>
      <c r="T30" s="923" t="n">
        <f aca="false">BS_IS!T29/BS_IS!T$33</f>
        <v>-1.02771337639465</v>
      </c>
      <c r="U30" s="923" t="n">
        <f aca="false">BS_IS!U29/BS_IS!U$33</f>
        <v>-1.10284019972928</v>
      </c>
      <c r="V30" s="923" t="n">
        <f aca="false">BS_IS!V29/BS_IS!V$33</f>
        <v>-1.04015973467667</v>
      </c>
      <c r="W30" s="923" t="n">
        <f aca="false">BS_IS!W29/BS_IS!W$33</f>
        <v>-0.8159067453418</v>
      </c>
      <c r="X30" s="923" t="n">
        <f aca="false">BS_IS!X29/BS_IS!X$33</f>
        <v>-0.44986913249035</v>
      </c>
      <c r="Y30" s="923" t="n">
        <f aca="false">BS_IS!Y29/BS_IS!Y$33</f>
        <v>-0.0909662927294409</v>
      </c>
      <c r="Z30" s="923" t="n">
        <f aca="false">BS_IS!Z29/BS_IS!Z$33</f>
        <v>0.138320193421564</v>
      </c>
      <c r="AA30" s="923" t="n">
        <f aca="false">BS_IS!AA29/BS_IS!AA$33</f>
        <v>0.390986584597455</v>
      </c>
      <c r="AB30" s="923" t="n">
        <f aca="false">BS_IS!AB29/BS_IS!AB$33</f>
        <v>1.19032947418934</v>
      </c>
    </row>
    <row r="31" customFormat="false" ht="12.75" hidden="false" customHeight="false" outlineLevel="0" collapsed="false">
      <c r="A31" s="943"/>
      <c r="B31" s="781" t="s">
        <v>890</v>
      </c>
      <c r="G31" s="519" t="n">
        <f aca="false">BS_IS!G30/BS_IS!G$33</f>
        <v>0</v>
      </c>
      <c r="H31" s="519" t="n">
        <f aca="false">BS_IS!H30/BS_IS!H$33</f>
        <v>0</v>
      </c>
      <c r="I31" s="519" t="n">
        <f aca="false">BS_IS!I30/BS_IS!I$33</f>
        <v>0</v>
      </c>
      <c r="J31" s="519" t="n">
        <f aca="false">BS_IS!J30/BS_IS!J$33</f>
        <v>0</v>
      </c>
      <c r="K31" s="519" t="n">
        <f aca="false">BS_IS!K30/BS_IS!K$33</f>
        <v>0</v>
      </c>
      <c r="L31" s="519" t="n">
        <f aca="false">BS_IS!L30/BS_IS!L$33</f>
        <v>0</v>
      </c>
      <c r="M31" s="519" t="n">
        <f aca="false">BS_IS!M30/BS_IS!M$33</f>
        <v>0</v>
      </c>
      <c r="N31" s="519" t="n">
        <f aca="false">BS_IS!N30/BS_IS!N$33</f>
        <v>0</v>
      </c>
      <c r="O31" s="519" t="n">
        <f aca="false">BS_IS!O30/BS_IS!O$33</f>
        <v>0</v>
      </c>
      <c r="P31" s="519" t="n">
        <f aca="false">BS_IS!P30/BS_IS!P$33</f>
        <v>0</v>
      </c>
      <c r="Q31" s="519" t="n">
        <f aca="false">BS_IS!Q30/BS_IS!Q$33</f>
        <v>0</v>
      </c>
      <c r="R31" s="519" t="n">
        <f aca="false">BS_IS!R30/BS_IS!R$33</f>
        <v>0</v>
      </c>
      <c r="S31" s="519" t="n">
        <f aca="false">BS_IS!S30/BS_IS!S$33</f>
        <v>0</v>
      </c>
      <c r="T31" s="519" t="n">
        <f aca="false">BS_IS!T30/BS_IS!T$33</f>
        <v>0</v>
      </c>
      <c r="U31" s="519" t="n">
        <f aca="false">BS_IS!U30/BS_IS!U$33</f>
        <v>0</v>
      </c>
      <c r="V31" s="519" t="n">
        <f aca="false">BS_IS!V30/BS_IS!V$33</f>
        <v>0</v>
      </c>
      <c r="W31" s="519" t="n">
        <f aca="false">BS_IS!W30/BS_IS!W$33</f>
        <v>0</v>
      </c>
      <c r="X31" s="519" t="n">
        <f aca="false">BS_IS!X30/BS_IS!X$33</f>
        <v>0</v>
      </c>
      <c r="Y31" s="519" t="n">
        <f aca="false">BS_IS!Y30/BS_IS!Y$33</f>
        <v>0</v>
      </c>
      <c r="Z31" s="519" t="n">
        <f aca="false">BS_IS!Z30/BS_IS!Z$33</f>
        <v>-0.138320193421564</v>
      </c>
      <c r="AA31" s="519" t="n">
        <f aca="false">BS_IS!AA30/BS_IS!AA$33</f>
        <v>-0.390986584597455</v>
      </c>
      <c r="AB31" s="519" t="n">
        <f aca="false">BS_IS!AB30/BS_IS!AB$33</f>
        <v>-2.74751764346021</v>
      </c>
    </row>
    <row r="32" customFormat="false" ht="12.75" hidden="false" customHeight="false" outlineLevel="0" collapsed="false">
      <c r="A32" s="943"/>
      <c r="B32" s="781" t="s">
        <v>891</v>
      </c>
      <c r="G32" s="923" t="n">
        <f aca="false">BS_IS!G31/BS_IS!G$33</f>
        <v>1</v>
      </c>
      <c r="H32" s="923" t="n">
        <f aca="false">BS_IS!H31/BS_IS!H$33</f>
        <v>0.516968392108142</v>
      </c>
      <c r="I32" s="923" t="n">
        <f aca="false">BS_IS!I31/BS_IS!I$33</f>
        <v>0.233708283483387</v>
      </c>
      <c r="J32" s="923" t="n">
        <f aca="false">BS_IS!J31/BS_IS!J$33</f>
        <v>0.199498364755394</v>
      </c>
      <c r="K32" s="923" t="n">
        <f aca="false">BS_IS!K31/BS_IS!K$33</f>
        <v>0.135712309413935</v>
      </c>
      <c r="L32" s="923" t="n">
        <f aca="false">BS_IS!L31/BS_IS!L$33</f>
        <v>0.0560653621967676</v>
      </c>
      <c r="M32" s="923" t="n">
        <f aca="false">BS_IS!M31/BS_IS!M$33</f>
        <v>0.0101135385055385</v>
      </c>
      <c r="N32" s="923" t="n">
        <f aca="false">BS_IS!N31/BS_IS!N$33</f>
        <v>-0.0330490155735203</v>
      </c>
      <c r="O32" s="923" t="n">
        <f aca="false">BS_IS!O31/BS_IS!O$33</f>
        <v>-0.0764922092830577</v>
      </c>
      <c r="P32" s="923" t="n">
        <f aca="false">BS_IS!P31/BS_IS!P$33</f>
        <v>-0.116357364519688</v>
      </c>
      <c r="Q32" s="923" t="n">
        <f aca="false">BS_IS!Q31/BS_IS!Q$33</f>
        <v>-0.13144831404279</v>
      </c>
      <c r="R32" s="923" t="n">
        <f aca="false">BS_IS!R31/BS_IS!R$33</f>
        <v>-0.117730968127106</v>
      </c>
      <c r="S32" s="923" t="n">
        <f aca="false">BS_IS!S31/BS_IS!S$33</f>
        <v>-0.0737032591212901</v>
      </c>
      <c r="T32" s="923" t="n">
        <f aca="false">BS_IS!T31/BS_IS!T$33</f>
        <v>0.0212214278492804</v>
      </c>
      <c r="U32" s="923" t="n">
        <f aca="false">BS_IS!U31/BS_IS!U$33</f>
        <v>0.210637099737543</v>
      </c>
      <c r="V32" s="923" t="n">
        <f aca="false">BS_IS!V31/BS_IS!V$33</f>
        <v>0.434657771001831</v>
      </c>
      <c r="W32" s="923" t="n">
        <f aca="false">BS_IS!W31/BS_IS!W$33</f>
        <v>0.748551552079384</v>
      </c>
      <c r="X32" s="923" t="n">
        <f aca="false">BS_IS!X31/BS_IS!X$33</f>
        <v>1</v>
      </c>
      <c r="Y32" s="923" t="n">
        <f aca="false">BS_IS!Y31/BS_IS!Y$33</f>
        <v>1</v>
      </c>
      <c r="Z32" s="923" t="n">
        <f aca="false">BS_IS!Z31/BS_IS!Z$33</f>
        <v>1</v>
      </c>
      <c r="AA32" s="923" t="n">
        <f aca="false">BS_IS!AA31/BS_IS!AA$33</f>
        <v>1</v>
      </c>
      <c r="AB32" s="923" t="n">
        <f aca="false">BS_IS!AB31/BS_IS!AB$33</f>
        <v>1</v>
      </c>
    </row>
    <row r="33" customFormat="false" ht="12.75" hidden="false" customHeight="false" outlineLevel="0" collapsed="false">
      <c r="A33" s="943"/>
    </row>
    <row r="34" customFormat="false" ht="13.5" hidden="false" customHeight="false" outlineLevel="0" collapsed="false">
      <c r="A34" s="945" t="s">
        <v>892</v>
      </c>
      <c r="B34" s="946"/>
      <c r="C34" s="946"/>
      <c r="D34" s="946"/>
      <c r="E34" s="946"/>
      <c r="F34" s="947"/>
      <c r="G34" s="947" t="n">
        <f aca="false">BS_IS!G33/BS_IS!G$33</f>
        <v>1</v>
      </c>
      <c r="H34" s="947" t="n">
        <f aca="false">BS_IS!H33/BS_IS!H$33</f>
        <v>1</v>
      </c>
      <c r="I34" s="947" t="n">
        <f aca="false">BS_IS!I33/BS_IS!I$33</f>
        <v>1</v>
      </c>
      <c r="J34" s="947" t="n">
        <f aca="false">BS_IS!J33/BS_IS!J$33</f>
        <v>1</v>
      </c>
      <c r="K34" s="947" t="n">
        <f aca="false">BS_IS!K33/BS_IS!K$33</f>
        <v>1</v>
      </c>
      <c r="L34" s="947" t="n">
        <f aca="false">BS_IS!L33/BS_IS!L$33</f>
        <v>1</v>
      </c>
      <c r="M34" s="947" t="n">
        <f aca="false">BS_IS!M33/BS_IS!M$33</f>
        <v>1</v>
      </c>
      <c r="N34" s="947" t="n">
        <f aca="false">BS_IS!N33/BS_IS!N$33</f>
        <v>1</v>
      </c>
      <c r="O34" s="947" t="n">
        <f aca="false">BS_IS!O33/BS_IS!O$33</f>
        <v>1</v>
      </c>
      <c r="P34" s="947" t="n">
        <f aca="false">BS_IS!P33/BS_IS!P$33</f>
        <v>1</v>
      </c>
      <c r="Q34" s="947" t="n">
        <f aca="false">BS_IS!Q33/BS_IS!Q$33</f>
        <v>1</v>
      </c>
      <c r="R34" s="947" t="n">
        <f aca="false">BS_IS!R33/BS_IS!R$33</f>
        <v>1</v>
      </c>
      <c r="S34" s="947" t="n">
        <f aca="false">BS_IS!S33/BS_IS!S$33</f>
        <v>1</v>
      </c>
      <c r="T34" s="947" t="n">
        <f aca="false">BS_IS!T33/BS_IS!T$33</f>
        <v>1</v>
      </c>
      <c r="U34" s="947" t="n">
        <f aca="false">BS_IS!U33/BS_IS!U$33</f>
        <v>1</v>
      </c>
      <c r="V34" s="947" t="n">
        <f aca="false">BS_IS!V33/BS_IS!V$33</f>
        <v>1</v>
      </c>
      <c r="W34" s="947" t="n">
        <f aca="false">BS_IS!W33/BS_IS!W$33</f>
        <v>1</v>
      </c>
      <c r="X34" s="947" t="n">
        <f aca="false">BS_IS!X33/BS_IS!X$33</f>
        <v>1</v>
      </c>
      <c r="Y34" s="947" t="n">
        <f aca="false">BS_IS!Y33/BS_IS!Y$33</f>
        <v>1</v>
      </c>
      <c r="Z34" s="947" t="n">
        <f aca="false">BS_IS!Z33/BS_IS!Z$33</f>
        <v>1</v>
      </c>
      <c r="AA34" s="947" t="n">
        <f aca="false">BS_IS!AA33/BS_IS!AA$33</f>
        <v>1</v>
      </c>
      <c r="AB34" s="947" t="n">
        <f aca="false">BS_IS!AB33/BS_IS!AB$33</f>
        <v>1</v>
      </c>
      <c r="AC34" s="947"/>
      <c r="AD34" s="947"/>
      <c r="AE34" s="947"/>
      <c r="AF34" s="947"/>
      <c r="AG34" s="947"/>
      <c r="AH34" s="947"/>
      <c r="AI34" s="947"/>
      <c r="AJ34" s="947"/>
      <c r="AK34" s="947"/>
      <c r="AL34" s="947"/>
      <c r="AM34" s="947"/>
      <c r="AN34" s="947"/>
      <c r="AO34" s="947"/>
      <c r="AP34" s="947"/>
      <c r="AQ34" s="947"/>
      <c r="AR34" s="947"/>
      <c r="AS34" s="947"/>
      <c r="AT34" s="947"/>
      <c r="AU34" s="947"/>
      <c r="AV34" s="947"/>
      <c r="AW34" s="947"/>
      <c r="AX34" s="947"/>
      <c r="AY34" s="947"/>
      <c r="AZ34" s="947"/>
      <c r="BA34" s="947"/>
      <c r="BB34" s="947"/>
      <c r="BC34" s="947"/>
      <c r="BD34" s="947"/>
      <c r="BE34" s="947"/>
      <c r="BF34" s="947"/>
      <c r="BG34" s="947"/>
      <c r="BH34" s="947"/>
      <c r="BI34" s="947"/>
      <c r="BJ34" s="947"/>
      <c r="BK34" s="947"/>
      <c r="BL34" s="947"/>
      <c r="BM34" s="947"/>
      <c r="BN34" s="947"/>
      <c r="BO34" s="947"/>
      <c r="BP34" s="947"/>
      <c r="BQ34" s="947"/>
      <c r="BR34" s="947"/>
      <c r="BS34" s="947"/>
      <c r="BT34" s="947"/>
      <c r="BU34" s="947"/>
      <c r="BV34" s="947"/>
      <c r="BW34" s="947"/>
      <c r="BX34" s="947"/>
      <c r="BY34" s="947"/>
      <c r="BZ34" s="947"/>
      <c r="CA34" s="947"/>
      <c r="CB34" s="947"/>
      <c r="CC34" s="947"/>
      <c r="CD34" s="947"/>
      <c r="CE34" s="947"/>
      <c r="CF34" s="947"/>
      <c r="CG34" s="947"/>
      <c r="CH34" s="947"/>
      <c r="CI34" s="947"/>
      <c r="CJ34" s="947"/>
      <c r="CK34" s="947"/>
      <c r="CL34" s="947"/>
      <c r="CM34" s="947"/>
      <c r="CN34" s="947"/>
      <c r="CO34" s="947"/>
      <c r="CP34" s="947"/>
      <c r="CQ34" s="947"/>
      <c r="CR34" s="947"/>
      <c r="CS34" s="947"/>
      <c r="CT34" s="947"/>
      <c r="CU34" s="947"/>
      <c r="CV34" s="947"/>
      <c r="CW34" s="947"/>
      <c r="CX34" s="947"/>
      <c r="CY34" s="947"/>
      <c r="CZ34" s="947"/>
      <c r="DA34" s="947"/>
      <c r="DB34" s="947"/>
      <c r="DC34" s="947"/>
      <c r="DD34" s="947"/>
      <c r="DE34" s="947"/>
      <c r="DF34" s="947"/>
      <c r="DG34" s="947"/>
      <c r="DH34" s="947"/>
      <c r="DI34" s="947"/>
      <c r="DJ34" s="947"/>
      <c r="DK34" s="947"/>
      <c r="DL34" s="947"/>
      <c r="DM34" s="947"/>
      <c r="DN34" s="947"/>
      <c r="DO34" s="947"/>
      <c r="DP34" s="947"/>
      <c r="DQ34" s="947"/>
      <c r="DR34" s="947"/>
      <c r="DS34" s="947"/>
      <c r="DT34" s="947"/>
      <c r="DU34" s="947"/>
      <c r="DV34" s="947"/>
      <c r="DW34" s="947"/>
      <c r="DX34" s="947"/>
      <c r="DY34" s="947"/>
      <c r="DZ34" s="947"/>
      <c r="EA34" s="947"/>
      <c r="EB34" s="947"/>
      <c r="EC34" s="947"/>
      <c r="ED34" s="947"/>
      <c r="EE34" s="947"/>
      <c r="EF34" s="947"/>
      <c r="EG34" s="947"/>
      <c r="EH34" s="947"/>
      <c r="EI34" s="947"/>
      <c r="EJ34" s="947"/>
      <c r="EK34" s="947"/>
      <c r="EL34" s="947"/>
      <c r="EM34" s="947"/>
      <c r="EN34" s="947"/>
      <c r="EO34" s="947"/>
      <c r="EP34" s="947"/>
      <c r="EQ34" s="947"/>
      <c r="ER34" s="947"/>
      <c r="ES34" s="947"/>
      <c r="ET34" s="947"/>
      <c r="EU34" s="947"/>
      <c r="EV34" s="947"/>
      <c r="EW34" s="947"/>
      <c r="EX34" s="947"/>
      <c r="EY34" s="947"/>
      <c r="EZ34" s="947"/>
      <c r="FA34" s="947"/>
      <c r="FB34" s="947"/>
      <c r="FC34" s="947"/>
      <c r="FD34" s="947"/>
      <c r="FE34" s="947"/>
      <c r="FF34" s="947"/>
      <c r="FG34" s="947"/>
      <c r="FH34" s="947"/>
      <c r="FI34" s="947"/>
      <c r="FJ34" s="947"/>
      <c r="FK34" s="947"/>
      <c r="FL34" s="947"/>
      <c r="FM34" s="947"/>
      <c r="FN34" s="947"/>
      <c r="FO34" s="947"/>
      <c r="FP34" s="947"/>
      <c r="FQ34" s="947"/>
      <c r="FR34" s="947"/>
      <c r="FS34" s="947"/>
      <c r="FT34" s="947"/>
      <c r="FU34" s="947"/>
      <c r="FV34" s="947"/>
      <c r="FW34" s="947"/>
      <c r="FX34" s="947"/>
      <c r="FY34" s="947"/>
      <c r="FZ34" s="947"/>
      <c r="GA34" s="947"/>
      <c r="GB34" s="947"/>
      <c r="GC34" s="947"/>
      <c r="GD34" s="947"/>
      <c r="GE34" s="947"/>
      <c r="GF34" s="947"/>
      <c r="GG34" s="947"/>
      <c r="GH34" s="947"/>
      <c r="GI34" s="947"/>
      <c r="GJ34" s="947"/>
      <c r="GK34" s="947"/>
      <c r="GL34" s="947"/>
      <c r="GM34" s="947"/>
      <c r="GN34" s="947"/>
      <c r="GO34" s="947"/>
      <c r="GP34" s="947"/>
      <c r="GQ34" s="947"/>
      <c r="GR34" s="947"/>
      <c r="GS34" s="947"/>
      <c r="GT34" s="947"/>
      <c r="GU34" s="947"/>
      <c r="GV34" s="947"/>
      <c r="GW34" s="947"/>
      <c r="GX34" s="947"/>
      <c r="GY34" s="947"/>
      <c r="GZ34" s="947"/>
      <c r="HA34" s="947"/>
      <c r="HB34" s="947"/>
      <c r="HC34" s="947"/>
      <c r="HD34" s="947"/>
      <c r="HE34" s="947"/>
      <c r="HF34" s="947"/>
      <c r="HG34" s="947"/>
      <c r="HH34" s="947"/>
      <c r="HI34" s="947"/>
      <c r="HJ34" s="947"/>
      <c r="HK34" s="947"/>
      <c r="HL34" s="947"/>
      <c r="HM34" s="947"/>
      <c r="HN34" s="947"/>
      <c r="HO34" s="947"/>
      <c r="HP34" s="947"/>
      <c r="HQ34" s="947"/>
      <c r="HR34" s="947"/>
      <c r="HS34" s="947"/>
      <c r="HT34" s="947"/>
      <c r="HU34" s="947"/>
      <c r="HV34" s="947"/>
      <c r="HW34" s="947"/>
      <c r="HX34" s="947"/>
      <c r="HY34" s="947"/>
      <c r="HZ34" s="947"/>
      <c r="IA34" s="947"/>
      <c r="IB34" s="947"/>
      <c r="IC34" s="947"/>
      <c r="ID34" s="947"/>
      <c r="IE34" s="947"/>
      <c r="IF34" s="947"/>
      <c r="IG34" s="947"/>
      <c r="IH34" s="947"/>
      <c r="II34" s="947"/>
      <c r="IJ34" s="947"/>
      <c r="IK34" s="947"/>
      <c r="IL34" s="947"/>
      <c r="IM34" s="947"/>
      <c r="IN34" s="947"/>
      <c r="IO34" s="947"/>
      <c r="IP34" s="947"/>
      <c r="IQ34" s="947"/>
      <c r="IR34" s="947"/>
      <c r="IS34" s="947"/>
      <c r="IT34" s="947"/>
      <c r="IU34" s="947"/>
      <c r="IV34" s="947"/>
      <c r="IW34" s="947"/>
    </row>
    <row r="35" customFormat="false" ht="13.5" hidden="false" customHeight="false" outlineLevel="0" collapsed="false">
      <c r="A35" s="943"/>
    </row>
    <row r="36" customFormat="false" ht="12.75" hidden="false" customHeight="false" outlineLevel="0" collapsed="false">
      <c r="B36" s="949"/>
      <c r="C36" s="949"/>
      <c r="D36" s="949"/>
      <c r="E36" s="949"/>
    </row>
    <row r="37" customFormat="false" ht="12.75" hidden="false" customHeight="false" outlineLevel="0" collapsed="false">
      <c r="A37" s="943"/>
    </row>
    <row r="38" customFormat="false" ht="13.5" hidden="false" customHeight="false" outlineLevel="0" collapsed="false">
      <c r="A38" s="950" t="s">
        <v>893</v>
      </c>
      <c r="B38" s="219"/>
      <c r="C38" s="219"/>
      <c r="D38" s="219"/>
      <c r="E38" s="219"/>
      <c r="F38" s="219"/>
      <c r="G38" s="951" t="n">
        <f aca="false">G$7</f>
        <v>1998</v>
      </c>
      <c r="H38" s="951" t="n">
        <f aca="false">H$7</f>
        <v>1999</v>
      </c>
      <c r="I38" s="951" t="n">
        <f aca="false">I$7</f>
        <v>2000</v>
      </c>
      <c r="J38" s="951" t="n">
        <f aca="false">J$7</f>
        <v>2001</v>
      </c>
      <c r="K38" s="951" t="n">
        <f aca="false">K$7</f>
        <v>2002</v>
      </c>
      <c r="L38" s="951" t="n">
        <f aca="false">L$7</f>
        <v>2003</v>
      </c>
      <c r="M38" s="951" t="n">
        <f aca="false">M$7</f>
        <v>2004</v>
      </c>
      <c r="N38" s="951" t="n">
        <f aca="false">N$7</f>
        <v>2005</v>
      </c>
      <c r="O38" s="951" t="n">
        <f aca="false">O$7</f>
        <v>2006</v>
      </c>
      <c r="P38" s="951" t="n">
        <f aca="false">P$7</f>
        <v>2007</v>
      </c>
      <c r="Q38" s="951" t="n">
        <f aca="false">Q$7</f>
        <v>2008</v>
      </c>
      <c r="R38" s="951" t="n">
        <f aca="false">R$7</f>
        <v>2009</v>
      </c>
      <c r="S38" s="951" t="n">
        <f aca="false">S$7</f>
        <v>2010</v>
      </c>
      <c r="T38" s="951" t="n">
        <f aca="false">T$7</f>
        <v>2011</v>
      </c>
      <c r="U38" s="951" t="n">
        <f aca="false">U$7</f>
        <v>2012</v>
      </c>
      <c r="V38" s="951" t="n">
        <f aca="false">V$7</f>
        <v>2013</v>
      </c>
      <c r="W38" s="951" t="n">
        <f aca="false">W$7</f>
        <v>2014</v>
      </c>
      <c r="X38" s="951" t="n">
        <f aca="false">X$7</f>
        <v>2015</v>
      </c>
      <c r="Y38" s="951" t="n">
        <f aca="false">Y$7</f>
        <v>2016</v>
      </c>
      <c r="Z38" s="951" t="n">
        <f aca="false">Z$7</f>
        <v>2017</v>
      </c>
      <c r="AA38" s="951" t="n">
        <f aca="false">AA$7</f>
        <v>2018</v>
      </c>
      <c r="AB38" s="951" t="n">
        <f aca="false">AB$7</f>
        <v>2019</v>
      </c>
      <c r="AC38" s="548" t="str">
        <f aca="false">AC$7</f>
        <v>Totals</v>
      </c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</row>
    <row r="39" customFormat="false" ht="12.75" hidden="false" customHeight="false" outlineLevel="0" collapsed="false">
      <c r="A39" s="952" t="s">
        <v>894</v>
      </c>
      <c r="G39" s="923" t="e">
        <f aca="false">BS_IS!G38/BS_IS!G$53</f>
        <v>#DIV/0!</v>
      </c>
      <c r="H39" s="923" t="e">
        <f aca="false">BS_IS!H38/BS_IS!H$53</f>
        <v>#DIV/0!</v>
      </c>
      <c r="I39" s="923" t="e">
        <f aca="false">BS_IS!I38/BS_IS!I$53</f>
        <v>#DIV/0!</v>
      </c>
      <c r="J39" s="923" t="n">
        <f aca="false">BS_IS!J38/BS_IS!J$53</f>
        <v>-1.74518707093499</v>
      </c>
      <c r="K39" s="923" t="n">
        <f aca="false">BS_IS!K38/BS_IS!K$53</f>
        <v>-1.53078830941335</v>
      </c>
      <c r="L39" s="923" t="n">
        <f aca="false">BS_IS!L38/BS_IS!L$53</f>
        <v>-1.54889532166315</v>
      </c>
      <c r="M39" s="923" t="n">
        <f aca="false">BS_IS!M38/BS_IS!M$53</f>
        <v>-3.29182227119107</v>
      </c>
      <c r="N39" s="923" t="n">
        <f aca="false">BS_IS!N38/BS_IS!N$53</f>
        <v>-4.64575529393579</v>
      </c>
      <c r="O39" s="923" t="n">
        <f aca="false">BS_IS!O38/BS_IS!O$53</f>
        <v>-6.7962429119792</v>
      </c>
      <c r="P39" s="923" t="n">
        <f aca="false">BS_IS!P38/BS_IS!P$53</f>
        <v>-13.7750880226953</v>
      </c>
      <c r="Q39" s="923" t="n">
        <f aca="false">BS_IS!Q38/BS_IS!Q$53</f>
        <v>71.237187739819</v>
      </c>
      <c r="R39" s="923" t="n">
        <f aca="false">BS_IS!R38/BS_IS!R$53</f>
        <v>15.1527849089815</v>
      </c>
      <c r="S39" s="923" t="n">
        <f aca="false">BS_IS!S38/BS_IS!S$53</f>
        <v>8.71995719378295</v>
      </c>
      <c r="T39" s="923" t="n">
        <f aca="false">BS_IS!T38/BS_IS!T$53</f>
        <v>6.20936104430435</v>
      </c>
      <c r="U39" s="923" t="n">
        <f aca="false">BS_IS!U38/BS_IS!U$53</f>
        <v>4.58159110692984</v>
      </c>
      <c r="V39" s="923" t="n">
        <f aca="false">BS_IS!V38/BS_IS!V$53</f>
        <v>4.97152227538589</v>
      </c>
      <c r="W39" s="923" t="n">
        <f aca="false">BS_IS!W38/BS_IS!W$53</f>
        <v>3.62225564913713</v>
      </c>
      <c r="X39" s="923" t="n">
        <f aca="false">BS_IS!X38/BS_IS!X$53</f>
        <v>3.22323869530597</v>
      </c>
      <c r="Y39" s="923" t="n">
        <f aca="false">BS_IS!Y38/BS_IS!Y$53</f>
        <v>3.09105328967629</v>
      </c>
      <c r="Z39" s="923" t="n">
        <f aca="false">BS_IS!Z38/BS_IS!Z$53</f>
        <v>3.20719242221468</v>
      </c>
      <c r="AA39" s="923" t="n">
        <f aca="false">BS_IS!AA38/BS_IS!AA$53</f>
        <v>2.87419236096874</v>
      </c>
      <c r="AB39" s="923" t="n">
        <f aca="false">BS_IS!AB38/BS_IS!AB$53</f>
        <v>3.23284761262068</v>
      </c>
    </row>
    <row r="40" customFormat="false" ht="12.75" hidden="false" customHeight="false" outlineLevel="0" collapsed="false">
      <c r="A40" s="943" t="s">
        <v>895</v>
      </c>
      <c r="B40" s="519"/>
      <c r="C40" s="519"/>
      <c r="D40" s="519"/>
      <c r="E40" s="519"/>
      <c r="F40" s="519"/>
      <c r="G40" s="519" t="e">
        <f aca="false">BS_IS!G39/BS_IS!G$53</f>
        <v>#DIV/0!</v>
      </c>
      <c r="H40" s="519" t="e">
        <f aca="false">BS_IS!H39/BS_IS!H$53</f>
        <v>#DIV/0!</v>
      </c>
      <c r="I40" s="519" t="e">
        <f aca="false">BS_IS!I39/BS_IS!I$53</f>
        <v>#DIV/0!</v>
      </c>
      <c r="J40" s="519" t="n">
        <f aca="false">BS_IS!J39/BS_IS!J$53</f>
        <v>0.355887230783371</v>
      </c>
      <c r="K40" s="519" t="n">
        <f aca="false">BS_IS!K39/BS_IS!K$53</f>
        <v>0.231145779903896</v>
      </c>
      <c r="L40" s="519" t="n">
        <f aca="false">BS_IS!L39/BS_IS!L$53</f>
        <v>0.328497252359665</v>
      </c>
      <c r="M40" s="519" t="n">
        <f aca="false">BS_IS!M39/BS_IS!M$53</f>
        <v>0.582886727813778</v>
      </c>
      <c r="N40" s="519" t="n">
        <f aca="false">BS_IS!N39/BS_IS!N$53</f>
        <v>0.685652170301486</v>
      </c>
      <c r="O40" s="519" t="n">
        <f aca="false">BS_IS!O39/BS_IS!O$53</f>
        <v>1.04342828010452</v>
      </c>
      <c r="P40" s="519" t="n">
        <f aca="false">BS_IS!P39/BS_IS!P$53</f>
        <v>2.05492788918606</v>
      </c>
      <c r="Q40" s="519" t="n">
        <f aca="false">BS_IS!Q39/BS_IS!Q$53</f>
        <v>-11.5436795948127</v>
      </c>
      <c r="R40" s="519" t="n">
        <f aca="false">BS_IS!R39/BS_IS!R$53</f>
        <v>-2.23474816514595</v>
      </c>
      <c r="S40" s="519" t="n">
        <f aca="false">BS_IS!S39/BS_IS!S$53</f>
        <v>-1.32854141845707</v>
      </c>
      <c r="T40" s="519" t="n">
        <f aca="false">BS_IS!T39/BS_IS!T$53</f>
        <v>-0.915533759262003</v>
      </c>
      <c r="U40" s="519" t="n">
        <f aca="false">BS_IS!U39/BS_IS!U$53</f>
        <v>-0.673658130731663</v>
      </c>
      <c r="V40" s="519" t="n">
        <f aca="false">BS_IS!V39/BS_IS!V$53</f>
        <v>-1.06090558009697</v>
      </c>
      <c r="W40" s="519" t="n">
        <f aca="false">BS_IS!W39/BS_IS!W$53</f>
        <v>-0.555648451944771</v>
      </c>
      <c r="X40" s="519" t="n">
        <f aca="false">BS_IS!X39/BS_IS!X$53</f>
        <v>-0.475272131438377</v>
      </c>
      <c r="Y40" s="519" t="n">
        <f aca="false">BS_IS!Y39/BS_IS!Y$53</f>
        <v>-0.459692749946106</v>
      </c>
      <c r="Z40" s="519" t="n">
        <f aca="false">BS_IS!Z39/BS_IS!Z$53</f>
        <v>-0.473045907907886</v>
      </c>
      <c r="AA40" s="519" t="n">
        <f aca="false">BS_IS!AA39/BS_IS!AA$53</f>
        <v>-0.420913710294166</v>
      </c>
      <c r="AB40" s="519" t="n">
        <f aca="false">BS_IS!AB39/BS_IS!AB$53</f>
        <v>-0.488919727314176</v>
      </c>
      <c r="AC40" s="519"/>
      <c r="AD40" s="519"/>
      <c r="AE40" s="519"/>
      <c r="AF40" s="519"/>
      <c r="AG40" s="519"/>
      <c r="AH40" s="519"/>
      <c r="AI40" s="519"/>
      <c r="AJ40" s="519"/>
      <c r="AK40" s="519"/>
      <c r="AL40" s="519"/>
      <c r="AM40" s="519"/>
      <c r="AN40" s="519"/>
      <c r="AO40" s="519"/>
      <c r="AP40" s="519"/>
      <c r="AQ40" s="519"/>
      <c r="AR40" s="519"/>
      <c r="AS40" s="519"/>
      <c r="AT40" s="519"/>
      <c r="AU40" s="519"/>
      <c r="AV40" s="519"/>
      <c r="AW40" s="519"/>
      <c r="AX40" s="519"/>
      <c r="AY40" s="519"/>
      <c r="AZ40" s="519"/>
      <c r="BA40" s="519"/>
      <c r="BB40" s="519"/>
      <c r="BC40" s="519"/>
      <c r="BD40" s="519"/>
      <c r="BE40" s="519"/>
      <c r="BF40" s="519"/>
      <c r="BG40" s="519"/>
      <c r="BH40" s="519"/>
      <c r="BI40" s="519"/>
      <c r="BJ40" s="519"/>
      <c r="BK40" s="519"/>
      <c r="BL40" s="519"/>
      <c r="BM40" s="519"/>
      <c r="BN40" s="519"/>
      <c r="BO40" s="519"/>
      <c r="BP40" s="519"/>
      <c r="BQ40" s="519"/>
      <c r="BR40" s="519"/>
      <c r="BS40" s="519"/>
      <c r="BT40" s="519"/>
      <c r="BU40" s="519"/>
      <c r="BV40" s="519"/>
      <c r="BW40" s="519"/>
      <c r="BX40" s="519"/>
      <c r="BY40" s="519"/>
      <c r="BZ40" s="519"/>
      <c r="CA40" s="519"/>
      <c r="CB40" s="519"/>
      <c r="CC40" s="519"/>
      <c r="CD40" s="519"/>
      <c r="CE40" s="519"/>
      <c r="CF40" s="519"/>
      <c r="CG40" s="519"/>
      <c r="CH40" s="519"/>
      <c r="CI40" s="519"/>
      <c r="CJ40" s="519"/>
      <c r="CK40" s="519"/>
      <c r="CL40" s="519"/>
      <c r="CM40" s="519"/>
      <c r="CN40" s="519"/>
      <c r="CO40" s="519"/>
      <c r="CP40" s="519"/>
      <c r="CQ40" s="519"/>
      <c r="CR40" s="519"/>
      <c r="CS40" s="519"/>
      <c r="CT40" s="519"/>
      <c r="CU40" s="519"/>
      <c r="CV40" s="519"/>
      <c r="CW40" s="519"/>
      <c r="CX40" s="519"/>
      <c r="CY40" s="519"/>
      <c r="CZ40" s="519"/>
      <c r="DA40" s="519"/>
      <c r="DB40" s="519"/>
      <c r="DC40" s="519"/>
      <c r="DD40" s="519"/>
      <c r="DE40" s="519"/>
      <c r="DF40" s="519"/>
      <c r="DG40" s="519"/>
      <c r="DH40" s="519"/>
      <c r="DI40" s="519"/>
      <c r="DJ40" s="519"/>
      <c r="DK40" s="519"/>
      <c r="DL40" s="519"/>
      <c r="DM40" s="519"/>
      <c r="DN40" s="519"/>
      <c r="DO40" s="519"/>
      <c r="DP40" s="519"/>
      <c r="DQ40" s="519"/>
      <c r="DR40" s="519"/>
      <c r="DS40" s="519"/>
      <c r="DT40" s="519"/>
      <c r="DU40" s="519"/>
      <c r="DV40" s="519"/>
      <c r="DW40" s="519"/>
      <c r="DX40" s="519"/>
      <c r="DY40" s="519"/>
      <c r="DZ40" s="519"/>
      <c r="EA40" s="519"/>
      <c r="EB40" s="519"/>
      <c r="EC40" s="519"/>
      <c r="ED40" s="519"/>
      <c r="EE40" s="519"/>
      <c r="EF40" s="519"/>
      <c r="EG40" s="519"/>
      <c r="EH40" s="519"/>
      <c r="EI40" s="519"/>
      <c r="EJ40" s="519"/>
      <c r="EK40" s="519"/>
      <c r="EL40" s="519"/>
      <c r="EM40" s="519"/>
      <c r="EN40" s="519"/>
      <c r="EO40" s="519"/>
      <c r="EP40" s="519"/>
      <c r="EQ40" s="519"/>
      <c r="ER40" s="519"/>
      <c r="ES40" s="519"/>
      <c r="ET40" s="519"/>
      <c r="EU40" s="519"/>
      <c r="EV40" s="519"/>
      <c r="EW40" s="519"/>
      <c r="EX40" s="519"/>
      <c r="EY40" s="519"/>
      <c r="EZ40" s="519"/>
      <c r="FA40" s="519"/>
      <c r="FB40" s="519"/>
      <c r="FC40" s="519"/>
      <c r="FD40" s="519"/>
      <c r="FE40" s="519"/>
      <c r="FF40" s="519"/>
      <c r="FG40" s="519"/>
      <c r="FH40" s="519"/>
      <c r="FI40" s="519"/>
      <c r="FJ40" s="519"/>
      <c r="FK40" s="519"/>
      <c r="FL40" s="519"/>
      <c r="FM40" s="519"/>
      <c r="FN40" s="519"/>
      <c r="FO40" s="519"/>
      <c r="FP40" s="519"/>
      <c r="FQ40" s="519"/>
      <c r="FR40" s="519"/>
      <c r="FS40" s="519"/>
      <c r="FT40" s="519"/>
      <c r="FU40" s="519"/>
      <c r="FV40" s="519"/>
      <c r="FW40" s="519"/>
      <c r="FX40" s="519"/>
      <c r="FY40" s="519"/>
      <c r="FZ40" s="519"/>
      <c r="GA40" s="519"/>
      <c r="GB40" s="519"/>
      <c r="GC40" s="519"/>
      <c r="GD40" s="519"/>
      <c r="GE40" s="519"/>
      <c r="GF40" s="519"/>
      <c r="GG40" s="519"/>
      <c r="GH40" s="519"/>
      <c r="GI40" s="519"/>
      <c r="GJ40" s="519"/>
      <c r="GK40" s="519"/>
      <c r="GL40" s="519"/>
      <c r="GM40" s="519"/>
      <c r="GN40" s="519"/>
      <c r="GO40" s="519"/>
      <c r="GP40" s="519"/>
      <c r="GQ40" s="519"/>
      <c r="GR40" s="519"/>
      <c r="GS40" s="519"/>
      <c r="GT40" s="519"/>
      <c r="GU40" s="519"/>
      <c r="GV40" s="519"/>
      <c r="GW40" s="519"/>
      <c r="GX40" s="519"/>
      <c r="GY40" s="519"/>
      <c r="GZ40" s="519"/>
      <c r="HA40" s="519"/>
      <c r="HB40" s="519"/>
      <c r="HC40" s="519"/>
      <c r="HD40" s="519"/>
      <c r="HE40" s="519"/>
      <c r="HF40" s="519"/>
      <c r="HG40" s="519"/>
      <c r="HH40" s="519"/>
      <c r="HI40" s="519"/>
      <c r="HJ40" s="519"/>
      <c r="HK40" s="519"/>
      <c r="HL40" s="519"/>
      <c r="HM40" s="519"/>
      <c r="HN40" s="519"/>
      <c r="HO40" s="519"/>
      <c r="HP40" s="519"/>
      <c r="HQ40" s="519"/>
      <c r="HR40" s="519"/>
      <c r="HS40" s="519"/>
      <c r="HT40" s="519"/>
      <c r="HU40" s="519"/>
      <c r="HV40" s="519"/>
      <c r="HW40" s="519"/>
      <c r="HX40" s="519"/>
      <c r="HY40" s="519"/>
      <c r="HZ40" s="519"/>
      <c r="IA40" s="519"/>
      <c r="IB40" s="519"/>
      <c r="IC40" s="519"/>
      <c r="ID40" s="519"/>
      <c r="IE40" s="519"/>
      <c r="IF40" s="519"/>
      <c r="IG40" s="519"/>
      <c r="IH40" s="519"/>
      <c r="II40" s="519"/>
      <c r="IJ40" s="519"/>
      <c r="IK40" s="519"/>
      <c r="IL40" s="519"/>
      <c r="IM40" s="519"/>
      <c r="IN40" s="519"/>
      <c r="IO40" s="519"/>
      <c r="IP40" s="519"/>
      <c r="IQ40" s="519"/>
      <c r="IR40" s="519"/>
      <c r="IS40" s="519"/>
      <c r="IT40" s="519"/>
      <c r="IU40" s="519"/>
      <c r="IV40" s="519"/>
      <c r="IW40" s="519"/>
    </row>
    <row r="41" customFormat="false" ht="12.75" hidden="false" customHeight="false" outlineLevel="0" collapsed="false">
      <c r="A41" s="943"/>
      <c r="B41" s="781" t="s">
        <v>896</v>
      </c>
      <c r="G41" s="923" t="e">
        <f aca="false">BS_IS!G40/BS_IS!G$53</f>
        <v>#DIV/0!</v>
      </c>
      <c r="H41" s="923" t="e">
        <f aca="false">BS_IS!H40/BS_IS!H$53</f>
        <v>#DIV/0!</v>
      </c>
      <c r="I41" s="923" t="e">
        <f aca="false">BS_IS!I40/BS_IS!I$53</f>
        <v>#DIV/0!</v>
      </c>
      <c r="J41" s="923" t="n">
        <f aca="false">BS_IS!J40/BS_IS!J$53</f>
        <v>0.344816575351765</v>
      </c>
      <c r="K41" s="923" t="n">
        <f aca="false">BS_IS!K40/BS_IS!K$53</f>
        <v>0.429498577332966</v>
      </c>
      <c r="L41" s="923" t="n">
        <f aca="false">BS_IS!L40/BS_IS!L$53</f>
        <v>0.413625264592702</v>
      </c>
      <c r="M41" s="923" t="n">
        <f aca="false">BS_IS!M40/BS_IS!M$53</f>
        <v>0.0879108964702846</v>
      </c>
      <c r="N41" s="923" t="n">
        <f aca="false">BS_IS!N40/BS_IS!N$53</f>
        <v>0.216408399385904</v>
      </c>
      <c r="O41" s="923" t="n">
        <f aca="false">BS_IS!O40/BS_IS!O$53</f>
        <v>0.413752196598786</v>
      </c>
      <c r="P41" s="923" t="n">
        <f aca="false">BS_IS!P40/BS_IS!P$53</f>
        <v>1.03562054375418</v>
      </c>
      <c r="Q41" s="923" t="n">
        <f aca="false">BS_IS!Q40/BS_IS!Q$53</f>
        <v>-6.18838755012732</v>
      </c>
      <c r="R41" s="923" t="n">
        <f aca="false">BS_IS!R40/BS_IS!R$53</f>
        <v>-1.47817595554497</v>
      </c>
      <c r="S41" s="923" t="n">
        <f aca="false">BS_IS!S40/BS_IS!S$53</f>
        <v>-0.848055535665931</v>
      </c>
      <c r="T41" s="923" t="n">
        <f aca="false">BS_IS!T40/BS_IS!T$53</f>
        <v>-0.567270476740364</v>
      </c>
      <c r="U41" s="923" t="n">
        <f aca="false">BS_IS!U40/BS_IS!U$53</f>
        <v>-0.395566627155053</v>
      </c>
      <c r="V41" s="923" t="n">
        <f aca="false">BS_IS!V40/BS_IS!V$53</f>
        <v>-0.408465549230673</v>
      </c>
      <c r="W41" s="923" t="n">
        <f aca="false">BS_IS!W40/BS_IS!W$53</f>
        <v>-0.252664191436138</v>
      </c>
      <c r="X41" s="923" t="n">
        <f aca="false">BS_IS!X40/BS_IS!X$53</f>
        <v>-0.172659763636861</v>
      </c>
      <c r="Y41" s="923" t="n">
        <f aca="false">BS_IS!Y40/BS_IS!Y$53</f>
        <v>-0.0925526173010026</v>
      </c>
      <c r="Z41" s="923" t="n">
        <f aca="false">BS_IS!Z40/BS_IS!Z$53</f>
        <v>0.0047389409025647</v>
      </c>
      <c r="AA41" s="923" t="n">
        <f aca="false">BS_IS!AA40/BS_IS!AA$53</f>
        <v>0.0649237393374246</v>
      </c>
      <c r="AB41" s="923" t="n">
        <f aca="false">BS_IS!AB40/BS_IS!AB$53</f>
        <v>0.120525732131087</v>
      </c>
    </row>
    <row r="42" customFormat="false" ht="12.75" hidden="false" customHeight="false" outlineLevel="0" collapsed="false">
      <c r="A42" s="943"/>
    </row>
    <row r="43" customFormat="false" ht="12.75" hidden="false" customHeight="false" outlineLevel="0" collapsed="false">
      <c r="A43" s="943" t="s">
        <v>897</v>
      </c>
      <c r="G43" s="923" t="e">
        <f aca="false">BS_IS!G42/BS_IS!G$53</f>
        <v>#DIV/0!</v>
      </c>
      <c r="H43" s="923" t="e">
        <f aca="false">BS_IS!H42/BS_IS!H$53</f>
        <v>#DIV/0!</v>
      </c>
      <c r="I43" s="923" t="e">
        <f aca="false">BS_IS!I42/BS_IS!I$53</f>
        <v>#DIV/0!</v>
      </c>
      <c r="J43" s="923" t="n">
        <f aca="false">BS_IS!J42/BS_IS!J$53</f>
        <v>-0</v>
      </c>
      <c r="K43" s="923" t="n">
        <f aca="false">BS_IS!K42/BS_IS!K$53</f>
        <v>-0</v>
      </c>
      <c r="L43" s="923" t="n">
        <f aca="false">BS_IS!L42/BS_IS!L$53</f>
        <v>-0</v>
      </c>
      <c r="M43" s="923" t="n">
        <f aca="false">BS_IS!M42/BS_IS!M$53</f>
        <v>-0</v>
      </c>
      <c r="N43" s="923" t="n">
        <f aca="false">BS_IS!N42/BS_IS!N$53</f>
        <v>-0</v>
      </c>
      <c r="O43" s="923" t="n">
        <f aca="false">BS_IS!O42/BS_IS!O$53</f>
        <v>-0</v>
      </c>
      <c r="P43" s="923" t="n">
        <f aca="false">BS_IS!P42/BS_IS!P$53</f>
        <v>-0</v>
      </c>
      <c r="Q43" s="923" t="n">
        <f aca="false">BS_IS!Q42/BS_IS!Q$53</f>
        <v>0</v>
      </c>
      <c r="R43" s="923" t="n">
        <f aca="false">BS_IS!R42/BS_IS!R$53</f>
        <v>0</v>
      </c>
      <c r="S43" s="923" t="n">
        <f aca="false">BS_IS!S42/BS_IS!S$53</f>
        <v>0</v>
      </c>
      <c r="T43" s="923" t="n">
        <f aca="false">BS_IS!T42/BS_IS!T$53</f>
        <v>0</v>
      </c>
      <c r="U43" s="923" t="n">
        <f aca="false">BS_IS!U42/BS_IS!U$53</f>
        <v>0</v>
      </c>
      <c r="V43" s="923" t="n">
        <f aca="false">BS_IS!V42/BS_IS!V$53</f>
        <v>0</v>
      </c>
      <c r="W43" s="923" t="n">
        <f aca="false">BS_IS!W42/BS_IS!W$53</f>
        <v>0</v>
      </c>
      <c r="X43" s="923" t="n">
        <f aca="false">BS_IS!X42/BS_IS!X$53</f>
        <v>0</v>
      </c>
      <c r="Y43" s="923" t="n">
        <f aca="false">BS_IS!Y42/BS_IS!Y$53</f>
        <v>0</v>
      </c>
      <c r="Z43" s="923" t="n">
        <f aca="false">BS_IS!Z42/BS_IS!Z$53</f>
        <v>0</v>
      </c>
      <c r="AA43" s="923" t="n">
        <f aca="false">BS_IS!AA42/BS_IS!AA$53</f>
        <v>0</v>
      </c>
      <c r="AB43" s="923" t="n">
        <f aca="false">BS_IS!AB42/BS_IS!AB$53</f>
        <v>0</v>
      </c>
    </row>
    <row r="44" customFormat="false" ht="12.75" hidden="false" customHeight="false" outlineLevel="0" collapsed="false">
      <c r="A44" s="943" t="s">
        <v>898</v>
      </c>
      <c r="G44" s="923" t="e">
        <f aca="false">BS_IS!G43/BS_IS!G$53</f>
        <v>#DIV/0!</v>
      </c>
      <c r="H44" s="923" t="e">
        <f aca="false">BS_IS!H43/BS_IS!H$53</f>
        <v>#DIV/0!</v>
      </c>
      <c r="I44" s="923" t="e">
        <f aca="false">BS_IS!I43/BS_IS!I$53</f>
        <v>#DIV/0!</v>
      </c>
      <c r="J44" s="923" t="n">
        <f aca="false">BS_IS!J43/BS_IS!J$53</f>
        <v>1.08602359755487</v>
      </c>
      <c r="K44" s="923" t="n">
        <f aca="false">BS_IS!K43/BS_IS!K$53</f>
        <v>0.678737935330564</v>
      </c>
      <c r="L44" s="923" t="n">
        <f aca="false">BS_IS!L43/BS_IS!L$53</f>
        <v>0.666315374260952</v>
      </c>
      <c r="M44" s="923" t="n">
        <f aca="false">BS_IS!M43/BS_IS!M$53</f>
        <v>1.37183809047498</v>
      </c>
      <c r="N44" s="923" t="n">
        <f aca="false">BS_IS!N43/BS_IS!N$53</f>
        <v>1.88700333843219</v>
      </c>
      <c r="O44" s="923" t="n">
        <f aca="false">BS_IS!O43/BS_IS!O$53</f>
        <v>2.6848318249068</v>
      </c>
      <c r="P44" s="923" t="n">
        <f aca="false">BS_IS!P43/BS_IS!P$53</f>
        <v>5.29586822987183</v>
      </c>
      <c r="Q44" s="923" t="n">
        <f aca="false">BS_IS!Q43/BS_IS!Q$53</f>
        <v>-26.5971733251025</v>
      </c>
      <c r="R44" s="923" t="n">
        <f aca="false">BS_IS!R43/BS_IS!R$53</f>
        <v>-5.52663136257368</v>
      </c>
      <c r="S44" s="923" t="n">
        <f aca="false">BS_IS!S43/BS_IS!S$53</f>
        <v>-3.09987112855248</v>
      </c>
      <c r="T44" s="923" t="n">
        <f aca="false">BS_IS!T43/BS_IS!T$53</f>
        <v>-2.15228910850075</v>
      </c>
      <c r="U44" s="923" t="n">
        <f aca="false">BS_IS!U43/BS_IS!U$53</f>
        <v>-1.54472294946231</v>
      </c>
      <c r="V44" s="923" t="n">
        <f aca="false">BS_IS!V43/BS_IS!V$53</f>
        <v>-1.63948853229235</v>
      </c>
      <c r="W44" s="923" t="n">
        <f aca="false">BS_IS!W43/BS_IS!W$53</f>
        <v>-1.16515041924543</v>
      </c>
      <c r="X44" s="923" t="n">
        <f aca="false">BS_IS!X43/BS_IS!X$53</f>
        <v>-1.01099905487283</v>
      </c>
      <c r="Y44" s="923" t="n">
        <f aca="false">BS_IS!Y43/BS_IS!Y$53</f>
        <v>-0.942490142674628</v>
      </c>
      <c r="Z44" s="923" t="n">
        <f aca="false">BS_IS!Z43/BS_IS!Z$53</f>
        <v>-0.955298993330726</v>
      </c>
      <c r="AA44" s="923" t="n">
        <f aca="false">BS_IS!AA43/BS_IS!AA$53</f>
        <v>-0.833701715916658</v>
      </c>
      <c r="AB44" s="923" t="n">
        <f aca="false">BS_IS!AB43/BS_IS!AB$53</f>
        <v>-0.942534631295292</v>
      </c>
    </row>
    <row r="45" customFormat="false" ht="12.75" hidden="false" customHeight="false" outlineLevel="0" collapsed="false">
      <c r="A45" s="943" t="s">
        <v>899</v>
      </c>
      <c r="G45" s="519" t="e">
        <f aca="false">BS_IS!G44/BS_IS!G$53</f>
        <v>#DIV/0!</v>
      </c>
      <c r="H45" s="519" t="e">
        <f aca="false">BS_IS!H44/BS_IS!H$53</f>
        <v>#DIV/0!</v>
      </c>
      <c r="I45" s="519" t="e">
        <f aca="false">BS_IS!I44/BS_IS!I$53</f>
        <v>#DIV/0!</v>
      </c>
      <c r="J45" s="519" t="n">
        <f aca="false">BS_IS!J44/BS_IS!J$53</f>
        <v>0.718418875345432</v>
      </c>
      <c r="K45" s="519" t="n">
        <f aca="false">BS_IS!K44/BS_IS!K$53</f>
        <v>0.894620984952727</v>
      </c>
      <c r="L45" s="519" t="n">
        <f aca="false">BS_IS!L44/BS_IS!L$53</f>
        <v>0.862726556490159</v>
      </c>
      <c r="M45" s="519" t="n">
        <f aca="false">BS_IS!M44/BS_IS!M$53</f>
        <v>1.70919314689594</v>
      </c>
      <c r="N45" s="519" t="n">
        <f aca="false">BS_IS!N44/BS_IS!N$53</f>
        <v>2.16354427571006</v>
      </c>
      <c r="O45" s="519" t="n">
        <f aca="false">BS_IS!O44/BS_IS!O$53</f>
        <v>2.7481107333005</v>
      </c>
      <c r="P45" s="519" t="n">
        <f aca="false">BS_IS!P44/BS_IS!P$53</f>
        <v>4.67463022451727</v>
      </c>
      <c r="Q45" s="519" t="n">
        <f aca="false">BS_IS!Q44/BS_IS!Q$53</f>
        <v>-19.5983207040441</v>
      </c>
      <c r="R45" s="519" t="n">
        <f aca="false">BS_IS!R44/BS_IS!R$53</f>
        <v>-3.55809760318628</v>
      </c>
      <c r="S45" s="519" t="n">
        <f aca="false">BS_IS!S44/BS_IS!S$53</f>
        <v>-1.76183627843276</v>
      </c>
      <c r="T45" s="519" t="n">
        <f aca="false">BS_IS!T44/BS_IS!T$53</f>
        <v>-1.06087697418181</v>
      </c>
      <c r="U45" s="519" t="n">
        <f aca="false">BS_IS!U44/BS_IS!U$53</f>
        <v>-0.604080005775466</v>
      </c>
      <c r="V45" s="519" t="n">
        <f aca="false">BS_IS!V44/BS_IS!V$53</f>
        <v>-0.459739411727322</v>
      </c>
      <c r="W45" s="519" t="n">
        <f aca="false">BS_IS!W44/BS_IS!W$53</f>
        <v>-0.197810273686479</v>
      </c>
      <c r="X45" s="519" t="n">
        <f aca="false">BS_IS!X44/BS_IS!X$53</f>
        <v>-0.0522547259671361</v>
      </c>
      <c r="Y45" s="519" t="n">
        <f aca="false">BS_IS!Y44/BS_IS!Y$53</f>
        <v>-0</v>
      </c>
      <c r="Z45" s="519" t="n">
        <f aca="false">BS_IS!Z44/BS_IS!Z$53</f>
        <v>-0</v>
      </c>
      <c r="AA45" s="519" t="n">
        <f aca="false">BS_IS!AA44/BS_IS!AA$53</f>
        <v>-0</v>
      </c>
      <c r="AB45" s="519" t="n">
        <f aca="false">BS_IS!AB44/BS_IS!AB$53</f>
        <v>-0</v>
      </c>
    </row>
    <row r="46" customFormat="false" ht="12.75" hidden="false" customHeight="false" outlineLevel="0" collapsed="false">
      <c r="A46" s="943"/>
      <c r="B46" s="781" t="s">
        <v>206</v>
      </c>
      <c r="G46" s="923" t="e">
        <f aca="false">BS_IS!G45/BS_IS!G$53</f>
        <v>#DIV/0!</v>
      </c>
      <c r="H46" s="923" t="e">
        <f aca="false">BS_IS!H45/BS_IS!H$53</f>
        <v>#DIV/0!</v>
      </c>
      <c r="I46" s="923" t="e">
        <f aca="false">BS_IS!I45/BS_IS!I$53</f>
        <v>#DIV/0!</v>
      </c>
      <c r="J46" s="923" t="n">
        <f aca="false">BS_IS!J45/BS_IS!J$53</f>
        <v>0.240040791899551</v>
      </c>
      <c r="K46" s="923" t="n">
        <f aca="false">BS_IS!K45/BS_IS!K$53</f>
        <v>0.296785031893199</v>
      </c>
      <c r="L46" s="923" t="n">
        <f aca="false">BS_IS!L45/BS_IS!L$53</f>
        <v>0.277730873959669</v>
      </c>
      <c r="M46" s="923" t="n">
        <f aca="false">BS_IS!M45/BS_IS!M$53</f>
        <v>0.539993409536083</v>
      </c>
      <c r="N46" s="923" t="n">
        <f aca="false">BS_IS!N45/BS_IS!N$53</f>
        <v>0.693147110106154</v>
      </c>
      <c r="O46" s="923" t="n">
        <f aca="false">BS_IS!O45/BS_IS!O$53</f>
        <v>0.906119877068607</v>
      </c>
      <c r="P46" s="923" t="n">
        <f aca="false">BS_IS!P45/BS_IS!P$53</f>
        <v>1.60814829482781</v>
      </c>
      <c r="Q46" s="923" t="n">
        <f aca="false">BS_IS!Q45/BS_IS!Q$53</f>
        <v>-7.05581542240031</v>
      </c>
      <c r="R46" s="923" t="n">
        <f aca="false">BS_IS!R45/BS_IS!R$53</f>
        <v>-1.22556806259695</v>
      </c>
      <c r="S46" s="923" t="n">
        <f aca="false">BS_IS!S45/BS_IS!S$53</f>
        <v>-0.534376517296014</v>
      </c>
      <c r="T46" s="923" t="n">
        <f aca="false">BS_IS!T45/BS_IS!T$53</f>
        <v>-0.250504665935563</v>
      </c>
      <c r="U46" s="923" t="n">
        <f aca="false">BS_IS!U45/BS_IS!U$53</f>
        <v>-0.081680153637367</v>
      </c>
      <c r="V46" s="923" t="n">
        <f aca="false">BS_IS!V45/BS_IS!V$53</f>
        <v>-0</v>
      </c>
      <c r="W46" s="923" t="n">
        <f aca="false">BS_IS!W45/BS_IS!W$53</f>
        <v>-0</v>
      </c>
      <c r="X46" s="923" t="n">
        <f aca="false">BS_IS!X45/BS_IS!X$53</f>
        <v>-0</v>
      </c>
      <c r="Y46" s="923" t="n">
        <f aca="false">BS_IS!Y45/BS_IS!Y$53</f>
        <v>-0</v>
      </c>
      <c r="Z46" s="923" t="n">
        <f aca="false">BS_IS!Z45/BS_IS!Z$53</f>
        <v>-0</v>
      </c>
      <c r="AA46" s="923" t="n">
        <f aca="false">BS_IS!AA45/BS_IS!AA$53</f>
        <v>-0</v>
      </c>
      <c r="AB46" s="923" t="n">
        <f aca="false">BS_IS!AB45/BS_IS!AB$53</f>
        <v>-0</v>
      </c>
    </row>
    <row r="47" customFormat="false" ht="12.75" hidden="false" customHeight="false" outlineLevel="0" collapsed="false">
      <c r="A47" s="943"/>
    </row>
    <row r="48" customFormat="false" ht="12.75" hidden="false" customHeight="false" outlineLevel="0" collapsed="false">
      <c r="A48" s="943" t="s">
        <v>900</v>
      </c>
      <c r="G48" s="923" t="e">
        <f aca="false">BS_IS!G47/BS_IS!G$53</f>
        <v>#DIV/0!</v>
      </c>
      <c r="H48" s="923" t="e">
        <f aca="false">BS_IS!H47/BS_IS!H$53</f>
        <v>#DIV/0!</v>
      </c>
      <c r="I48" s="923" t="e">
        <f aca="false">BS_IS!I47/BS_IS!I$53</f>
        <v>#DIV/0!</v>
      </c>
      <c r="J48" s="923" t="n">
        <f aca="false">BS_IS!J47/BS_IS!J$53</f>
        <v>2.04448326479986</v>
      </c>
      <c r="K48" s="923" t="n">
        <f aca="false">BS_IS!K47/BS_IS!K$53</f>
        <v>1.87014395217649</v>
      </c>
      <c r="L48" s="923" t="n">
        <f aca="false">BS_IS!L47/BS_IS!L$53</f>
        <v>1.80677280471078</v>
      </c>
      <c r="M48" s="923" t="n">
        <f aca="false">BS_IS!M47/BS_IS!M$53</f>
        <v>3.62102464690701</v>
      </c>
      <c r="N48" s="923" t="n">
        <f aca="false">BS_IS!N47/BS_IS!N$53</f>
        <v>4.7436947242484</v>
      </c>
      <c r="O48" s="923" t="n">
        <f aca="false">BS_IS!O47/BS_IS!O$53</f>
        <v>6.3390624352759</v>
      </c>
      <c r="P48" s="923" t="n">
        <f aca="false">BS_IS!P47/BS_IS!P$53</f>
        <v>11.5786467492169</v>
      </c>
      <c r="Q48" s="923" t="n">
        <f aca="false">BS_IS!Q47/BS_IS!Q$53</f>
        <v>-53.2513094515469</v>
      </c>
      <c r="R48" s="923" t="n">
        <f aca="false">BS_IS!R47/BS_IS!R$53</f>
        <v>-10.3102970283569</v>
      </c>
      <c r="S48" s="923" t="n">
        <f aca="false">BS_IS!S47/BS_IS!S$53</f>
        <v>-5.39608392428125</v>
      </c>
      <c r="T48" s="923" t="n">
        <f aca="false">BS_IS!T47/BS_IS!T$53</f>
        <v>-3.46367074861812</v>
      </c>
      <c r="U48" s="923" t="n">
        <f aca="false">BS_IS!U47/BS_IS!U$53</f>
        <v>-2.23048310887514</v>
      </c>
      <c r="V48" s="923" t="n">
        <f aca="false">BS_IS!V47/BS_IS!V$53</f>
        <v>-2.09922794401967</v>
      </c>
      <c r="W48" s="923" t="n">
        <f aca="false">BS_IS!W47/BS_IS!W$53</f>
        <v>-1.36296069293191</v>
      </c>
      <c r="X48" s="923" t="n">
        <f aca="false">BS_IS!X47/BS_IS!X$53</f>
        <v>-1.06325378083997</v>
      </c>
      <c r="Y48" s="923" t="n">
        <f aca="false">BS_IS!Y47/BS_IS!Y$53</f>
        <v>-0.942490142674628</v>
      </c>
      <c r="Z48" s="923" t="n">
        <f aca="false">BS_IS!Z47/BS_IS!Z$53</f>
        <v>-0.955298993330726</v>
      </c>
      <c r="AA48" s="923" t="n">
        <f aca="false">BS_IS!AA47/BS_IS!AA$53</f>
        <v>-0.833701715916658</v>
      </c>
      <c r="AB48" s="923" t="n">
        <f aca="false">BS_IS!AB47/BS_IS!AB$53</f>
        <v>-0.942534631295292</v>
      </c>
    </row>
    <row r="49" customFormat="false" ht="12.75" hidden="false" customHeight="false" outlineLevel="0" collapsed="false">
      <c r="A49" s="943"/>
    </row>
    <row r="50" customFormat="false" ht="12.75" hidden="false" customHeight="false" outlineLevel="0" collapsed="false">
      <c r="A50" s="943" t="s">
        <v>800</v>
      </c>
      <c r="G50" s="923" t="e">
        <f aca="false">BS_IS!G49/BS_IS!G$53</f>
        <v>#DIV/0!</v>
      </c>
      <c r="H50" s="923" t="e">
        <f aca="false">BS_IS!H49/BS_IS!H$53</f>
        <v>#DIV/0!</v>
      </c>
      <c r="I50" s="923" t="e">
        <f aca="false">BS_IS!I49/BS_IS!I$53</f>
        <v>#DIV/0!</v>
      </c>
      <c r="J50" s="923" t="n">
        <f aca="false">BS_IS!J49/BS_IS!J$53</f>
        <v>1</v>
      </c>
      <c r="K50" s="923" t="n">
        <f aca="false">BS_IS!K49/BS_IS!K$53</f>
        <v>1</v>
      </c>
      <c r="L50" s="923" t="n">
        <f aca="false">BS_IS!L49/BS_IS!L$53</f>
        <v>1</v>
      </c>
      <c r="M50" s="923" t="n">
        <f aca="false">BS_IS!M49/BS_IS!M$53</f>
        <v>1</v>
      </c>
      <c r="N50" s="923" t="n">
        <f aca="false">BS_IS!N49/BS_IS!N$53</f>
        <v>1</v>
      </c>
      <c r="O50" s="923" t="n">
        <f aca="false">BS_IS!O49/BS_IS!O$53</f>
        <v>1</v>
      </c>
      <c r="P50" s="923" t="n">
        <f aca="false">BS_IS!P49/BS_IS!P$53</f>
        <v>0.894107159461833</v>
      </c>
      <c r="Q50" s="923" t="n">
        <f aca="false">BS_IS!Q49/BS_IS!Q$53</f>
        <v>0.253811143332074</v>
      </c>
      <c r="R50" s="923" t="n">
        <f aca="false">BS_IS!R49/BS_IS!R$53</f>
        <v>1.12956375993367</v>
      </c>
      <c r="S50" s="923" t="n">
        <f aca="false">BS_IS!S49/BS_IS!S$53</f>
        <v>1.1472763153787</v>
      </c>
      <c r="T50" s="923" t="n">
        <f aca="false">BS_IS!T49/BS_IS!T$53</f>
        <v>1.26288605968386</v>
      </c>
      <c r="U50" s="923" t="n">
        <f aca="false">BS_IS!U49/BS_IS!U$53</f>
        <v>1.28188324016798</v>
      </c>
      <c r="V50" s="923" t="n">
        <f aca="false">BS_IS!V49/BS_IS!V$53</f>
        <v>1.40292320203858</v>
      </c>
      <c r="W50" s="923" t="n">
        <f aca="false">BS_IS!W49/BS_IS!W$53</f>
        <v>1.45098231282431</v>
      </c>
      <c r="X50" s="923" t="n">
        <f aca="false">BS_IS!X49/BS_IS!X$53</f>
        <v>1.51205301939077</v>
      </c>
      <c r="Y50" s="923" t="n">
        <f aca="false">BS_IS!Y49/BS_IS!Y$53</f>
        <v>1.59631777975456</v>
      </c>
      <c r="Z50" s="923" t="n">
        <f aca="false">BS_IS!Z49/BS_IS!Z$53</f>
        <v>1.78358646187864</v>
      </c>
      <c r="AA50" s="923" t="n">
        <f aca="false">BS_IS!AA49/BS_IS!AA$53</f>
        <v>1.68450067409534</v>
      </c>
      <c r="AB50" s="923" t="n">
        <f aca="false">BS_IS!AB49/BS_IS!AB$53</f>
        <v>1.9219189861423</v>
      </c>
    </row>
    <row r="51" customFormat="false" ht="12.75" hidden="false" customHeight="false" outlineLevel="0" collapsed="false">
      <c r="A51" s="943"/>
    </row>
    <row r="52" customFormat="false" ht="12.75" hidden="false" customHeight="false" outlineLevel="0" collapsed="false">
      <c r="A52" s="943" t="s">
        <v>28</v>
      </c>
      <c r="G52" s="923" t="e">
        <f aca="false">BS_IS!G51/BS_IS!G$53</f>
        <v>#DIV/0!</v>
      </c>
      <c r="H52" s="923" t="e">
        <f aca="false">BS_IS!H51/BS_IS!H$53</f>
        <v>#DIV/0!</v>
      </c>
      <c r="I52" s="923" t="e">
        <f aca="false">BS_IS!I51/BS_IS!I$53</f>
        <v>#DIV/0!</v>
      </c>
      <c r="J52" s="923" t="n">
        <f aca="false">BS_IS!J51/BS_IS!J$53</f>
        <v>0</v>
      </c>
      <c r="K52" s="923" t="n">
        <f aca="false">BS_IS!K51/BS_IS!K$53</f>
        <v>0</v>
      </c>
      <c r="L52" s="923" t="n">
        <f aca="false">BS_IS!L51/BS_IS!L$53</f>
        <v>0</v>
      </c>
      <c r="M52" s="923" t="n">
        <f aca="false">BS_IS!M51/BS_IS!M$53</f>
        <v>0</v>
      </c>
      <c r="N52" s="923" t="n">
        <f aca="false">BS_IS!N51/BS_IS!N$53</f>
        <v>0</v>
      </c>
      <c r="O52" s="923" t="n">
        <f aca="false">BS_IS!O51/BS_IS!O$53</f>
        <v>0</v>
      </c>
      <c r="P52" s="923" t="n">
        <f aca="false">BS_IS!P51/BS_IS!P$53</f>
        <v>0.146061828849055</v>
      </c>
      <c r="Q52" s="923" t="n">
        <f aca="false">BS_IS!Q51/BS_IS!Q$53</f>
        <v>-2.17908877766432</v>
      </c>
      <c r="R52" s="923" t="n">
        <f aca="false">BS_IS!R51/BS_IS!R$53</f>
        <v>-0.641170094780772</v>
      </c>
      <c r="S52" s="923" t="n">
        <f aca="false">BS_IS!S51/BS_IS!S$53</f>
        <v>-0.429987616311483</v>
      </c>
      <c r="T52" s="923" t="n">
        <f aca="false">BS_IS!T51/BS_IS!T$53</f>
        <v>-0.3623865876502</v>
      </c>
      <c r="U52" s="923" t="n">
        <f aca="false">BS_IS!U51/BS_IS!U$53</f>
        <v>-0.307585926945985</v>
      </c>
      <c r="V52" s="923" t="n">
        <f aca="false">BS_IS!V51/BS_IS!V$53</f>
        <v>-0.291707100970657</v>
      </c>
      <c r="W52" s="923" t="n">
        <f aca="false">BS_IS!W51/BS_IS!W$53</f>
        <v>-0.295756846911283</v>
      </c>
      <c r="X52" s="923" t="n">
        <f aca="false">BS_IS!X51/BS_IS!X$53</f>
        <v>-0.295035690418699</v>
      </c>
      <c r="Y52" s="923" t="n">
        <f aca="false">BS_IS!Y51/BS_IS!Y$53</f>
        <v>-0.296642264957021</v>
      </c>
      <c r="Z52" s="923" t="n">
        <f aca="false">BS_IS!Z51/BS_IS!Z$53</f>
        <v>-0.315507424087515</v>
      </c>
      <c r="AA52" s="923" t="n">
        <f aca="false">BS_IS!AA51/BS_IS!AA$53</f>
        <v>-0.300262506240177</v>
      </c>
      <c r="AB52" s="923" t="n">
        <f aca="false">BS_IS!AB51/BS_IS!AB$53</f>
        <v>-0.487521679581944</v>
      </c>
    </row>
    <row r="53" customFormat="false" ht="12.75" hidden="false" customHeight="false" outlineLevel="0" collapsed="false">
      <c r="A53" s="943" t="s">
        <v>901</v>
      </c>
      <c r="G53" s="923" t="e">
        <f aca="false">BS_IS!G52/BS_IS!G$53</f>
        <v>#DIV/0!</v>
      </c>
      <c r="H53" s="923" t="e">
        <f aca="false">BS_IS!H52/BS_IS!H$53</f>
        <v>#DIV/0!</v>
      </c>
      <c r="I53" s="923" t="e">
        <f aca="false">BS_IS!I52/BS_IS!I$53</f>
        <v>#DIV/0!</v>
      </c>
      <c r="J53" s="923" t="n">
        <f aca="false">BS_IS!J52/BS_IS!J$53</f>
        <v>-0</v>
      </c>
      <c r="K53" s="923" t="n">
        <f aca="false">BS_IS!K52/BS_IS!K$53</f>
        <v>-0</v>
      </c>
      <c r="L53" s="923" t="n">
        <f aca="false">BS_IS!L52/BS_IS!L$53</f>
        <v>-0</v>
      </c>
      <c r="M53" s="923" t="n">
        <f aca="false">BS_IS!M52/BS_IS!M$53</f>
        <v>-0</v>
      </c>
      <c r="N53" s="923" t="n">
        <f aca="false">BS_IS!N52/BS_IS!N$53</f>
        <v>-0</v>
      </c>
      <c r="O53" s="923" t="n">
        <f aca="false">BS_IS!O52/BS_IS!O$53</f>
        <v>-0</v>
      </c>
      <c r="P53" s="923" t="n">
        <f aca="false">BS_IS!P52/BS_IS!P$53</f>
        <v>-0.0401689883108878</v>
      </c>
      <c r="Q53" s="923" t="n">
        <f aca="false">BS_IS!Q52/BS_IS!Q$53</f>
        <v>0.391106542840655</v>
      </c>
      <c r="R53" s="923" t="n">
        <f aca="false">BS_IS!R52/BS_IS!R$53</f>
        <v>0.00580949201452773</v>
      </c>
      <c r="S53" s="923" t="n">
        <f aca="false">BS_IS!S52/BS_IS!S$53</f>
        <v>0.0551010561690297</v>
      </c>
      <c r="T53" s="923" t="n">
        <f aca="false">BS_IS!T52/BS_IS!T$53</f>
        <v>0.0108987350052258</v>
      </c>
      <c r="U53" s="923" t="n">
        <f aca="false">BS_IS!U52/BS_IS!U$53</f>
        <v>0.0338833126642502</v>
      </c>
      <c r="V53" s="923" t="n">
        <f aca="false">BS_IS!V52/BS_IS!V$53</f>
        <v>0.00360118420543009</v>
      </c>
      <c r="W53" s="923" t="n">
        <f aca="false">BS_IS!W52/BS_IS!W$53</f>
        <v>-0.00255928675565063</v>
      </c>
      <c r="X53" s="923" t="n">
        <f aca="false">BS_IS!X52/BS_IS!X$53</f>
        <v>0.00222068880410051</v>
      </c>
      <c r="Y53" s="923" t="n">
        <f aca="false">BS_IS!Y52/BS_IS!Y$53</f>
        <v>-0.00207020698755836</v>
      </c>
      <c r="Z53" s="923" t="n">
        <f aca="false">BS_IS!Z52/BS_IS!Z$53</f>
        <v>-0.0650701010441269</v>
      </c>
      <c r="AA53" s="923" t="n">
        <f aca="false">BS_IS!AA52/BS_IS!AA$53</f>
        <v>0</v>
      </c>
      <c r="AB53" s="923" t="n">
        <f aca="false">BS_IS!AB52/BS_IS!AB$53</f>
        <v>0</v>
      </c>
    </row>
    <row r="54" customFormat="false" ht="12.75" hidden="false" customHeight="false" outlineLevel="0" collapsed="false">
      <c r="A54" s="943" t="s">
        <v>902</v>
      </c>
      <c r="G54" s="923" t="e">
        <f aca="false">BS_IS!G53/BS_IS!G$53</f>
        <v>#DIV/0!</v>
      </c>
      <c r="H54" s="923" t="e">
        <f aca="false">BS_IS!H53/BS_IS!H$53</f>
        <v>#DIV/0!</v>
      </c>
      <c r="I54" s="923" t="e">
        <f aca="false">BS_IS!I53/BS_IS!I$53</f>
        <v>#DIV/0!</v>
      </c>
      <c r="J54" s="923" t="n">
        <f aca="false">BS_IS!J53/BS_IS!J$53</f>
        <v>1</v>
      </c>
      <c r="K54" s="923" t="n">
        <f aca="false">BS_IS!K53/BS_IS!K$53</f>
        <v>1</v>
      </c>
      <c r="L54" s="923" t="n">
        <f aca="false">BS_IS!L53/BS_IS!L$53</f>
        <v>1</v>
      </c>
      <c r="M54" s="923" t="n">
        <f aca="false">BS_IS!M53/BS_IS!M$53</f>
        <v>1</v>
      </c>
      <c r="N54" s="923" t="n">
        <f aca="false">BS_IS!N53/BS_IS!N$53</f>
        <v>1</v>
      </c>
      <c r="O54" s="923" t="n">
        <f aca="false">BS_IS!O53/BS_IS!O$53</f>
        <v>1</v>
      </c>
      <c r="P54" s="923" t="n">
        <f aca="false">BS_IS!P53/BS_IS!P$53</f>
        <v>1</v>
      </c>
      <c r="Q54" s="923" t="n">
        <f aca="false">BS_IS!Q53/BS_IS!Q$53</f>
        <v>1</v>
      </c>
      <c r="R54" s="923" t="n">
        <f aca="false">BS_IS!R53/BS_IS!R$53</f>
        <v>1</v>
      </c>
      <c r="S54" s="923" t="n">
        <f aca="false">BS_IS!S53/BS_IS!S$53</f>
        <v>1</v>
      </c>
      <c r="T54" s="923" t="n">
        <f aca="false">BS_IS!T53/BS_IS!T$53</f>
        <v>1</v>
      </c>
      <c r="U54" s="923" t="n">
        <f aca="false">BS_IS!U53/BS_IS!U$53</f>
        <v>1</v>
      </c>
      <c r="V54" s="923" t="n">
        <f aca="false">BS_IS!V53/BS_IS!V$53</f>
        <v>1</v>
      </c>
      <c r="W54" s="923" t="n">
        <f aca="false">BS_IS!W53/BS_IS!W$53</f>
        <v>1</v>
      </c>
      <c r="X54" s="923" t="n">
        <f aca="false">BS_IS!X53/BS_IS!X$53</f>
        <v>1</v>
      </c>
      <c r="Y54" s="923" t="n">
        <f aca="false">BS_IS!Y53/BS_IS!Y$53</f>
        <v>1</v>
      </c>
      <c r="Z54" s="923" t="n">
        <f aca="false">BS_IS!Z53/BS_IS!Z$53</f>
        <v>1</v>
      </c>
      <c r="AA54" s="923" t="n">
        <f aca="false">BS_IS!AA53/BS_IS!AA$53</f>
        <v>1</v>
      </c>
      <c r="AB54" s="923" t="n">
        <f aca="false">BS_IS!AB53/BS_IS!AB$53</f>
        <v>1</v>
      </c>
    </row>
    <row r="55" customFormat="false" ht="12.75" hidden="false" customHeight="false" outlineLevel="0" collapsed="false">
      <c r="A55" s="943" t="s">
        <v>903</v>
      </c>
      <c r="G55" s="519" t="e">
        <f aca="false">BS_IS!G54/BS_IS!G$53</f>
        <v>#DIV/0!</v>
      </c>
      <c r="H55" s="519" t="e">
        <f aca="false">BS_IS!H54/BS_IS!H$53</f>
        <v>#DIV/0!</v>
      </c>
      <c r="I55" s="519" t="e">
        <f aca="false">BS_IS!I54/BS_IS!I$53</f>
        <v>#DIV/0!</v>
      </c>
      <c r="J55" s="519" t="n">
        <f aca="false">BS_IS!J54/BS_IS!J$53</f>
        <v>-0</v>
      </c>
      <c r="K55" s="519" t="n">
        <f aca="false">BS_IS!K54/BS_IS!K$53</f>
        <v>-0</v>
      </c>
      <c r="L55" s="519" t="n">
        <f aca="false">BS_IS!L54/BS_IS!L$53</f>
        <v>-0</v>
      </c>
      <c r="M55" s="519" t="n">
        <f aca="false">BS_IS!M54/BS_IS!M$53</f>
        <v>-0</v>
      </c>
      <c r="N55" s="519" t="n">
        <f aca="false">BS_IS!N54/BS_IS!N$53</f>
        <v>-0</v>
      </c>
      <c r="O55" s="519" t="n">
        <f aca="false">BS_IS!O54/BS_IS!O$53</f>
        <v>-0</v>
      </c>
      <c r="P55" s="519" t="n">
        <f aca="false">BS_IS!P54/BS_IS!P$53</f>
        <v>-0</v>
      </c>
      <c r="Q55" s="519" t="n">
        <f aca="false">BS_IS!Q54/BS_IS!Q$53</f>
        <v>0</v>
      </c>
      <c r="R55" s="519" t="n">
        <f aca="false">BS_IS!R54/BS_IS!R$53</f>
        <v>0</v>
      </c>
      <c r="S55" s="519" t="n">
        <f aca="false">BS_IS!S54/BS_IS!S$53</f>
        <v>0</v>
      </c>
      <c r="T55" s="519" t="n">
        <f aca="false">BS_IS!T54/BS_IS!T$53</f>
        <v>0</v>
      </c>
      <c r="U55" s="519" t="n">
        <f aca="false">BS_IS!U54/BS_IS!U$53</f>
        <v>0</v>
      </c>
      <c r="V55" s="519" t="n">
        <f aca="false">BS_IS!V54/BS_IS!V$53</f>
        <v>0</v>
      </c>
      <c r="W55" s="519" t="n">
        <f aca="false">BS_IS!W54/BS_IS!W$53</f>
        <v>0</v>
      </c>
      <c r="X55" s="519" t="n">
        <f aca="false">BS_IS!X54/BS_IS!X$53</f>
        <v>0</v>
      </c>
      <c r="Y55" s="519" t="n">
        <f aca="false">BS_IS!Y54/BS_IS!Y$53</f>
        <v>0</v>
      </c>
      <c r="Z55" s="519" t="n">
        <f aca="false">BS_IS!Z54/BS_IS!Z$53</f>
        <v>0</v>
      </c>
      <c r="AA55" s="519" t="n">
        <f aca="false">BS_IS!AA54/BS_IS!AA$53</f>
        <v>0</v>
      </c>
      <c r="AB55" s="519" t="n">
        <f aca="false">BS_IS!AB54/BS_IS!AB$53</f>
        <v>0</v>
      </c>
    </row>
    <row r="56" customFormat="false" ht="12.75" hidden="false" customHeight="false" outlineLevel="0" collapsed="false">
      <c r="A56" s="943"/>
      <c r="B56" s="781" t="s">
        <v>904</v>
      </c>
      <c r="G56" s="923" t="e">
        <f aca="false">BS_IS!G55/BS_IS!G$53</f>
        <v>#DIV/0!</v>
      </c>
      <c r="H56" s="923" t="e">
        <f aca="false">BS_IS!H55/BS_IS!H$53</f>
        <v>#DIV/0!</v>
      </c>
      <c r="I56" s="923" t="e">
        <f aca="false">BS_IS!I55/BS_IS!I$53</f>
        <v>#DIV/0!</v>
      </c>
      <c r="J56" s="923" t="n">
        <f aca="false">BS_IS!J55/BS_IS!J$53</f>
        <v>-0.412581047155933</v>
      </c>
      <c r="K56" s="923" t="n">
        <f aca="false">BS_IS!K55/BS_IS!K$53</f>
        <v>-0.214984858496917</v>
      </c>
      <c r="L56" s="923" t="n">
        <f aca="false">BS_IS!L55/BS_IS!L$53</f>
        <v>-0.211155530427115</v>
      </c>
      <c r="M56" s="923" t="n">
        <f aca="false">BS_IS!M55/BS_IS!M$53</f>
        <v>-0.434952920976248</v>
      </c>
      <c r="N56" s="923" t="n">
        <f aca="false">BS_IS!N55/BS_IS!N$53</f>
        <v>-0.598588987528618</v>
      </c>
      <c r="O56" s="923" t="n">
        <f aca="false">BS_IS!O55/BS_IS!O$53</f>
        <v>-0.852098288599012</v>
      </c>
      <c r="P56" s="923" t="n">
        <f aca="false">BS_IS!P55/BS_IS!P$53</f>
        <v>-1.68161363587443</v>
      </c>
      <c r="Q56" s="923" t="n">
        <f aca="false">BS_IS!Q55/BS_IS!Q$53</f>
        <v>8.44969181326414</v>
      </c>
      <c r="R56" s="923" t="n">
        <f aca="false">BS_IS!R55/BS_IS!R$53</f>
        <v>1.75663734448412</v>
      </c>
      <c r="S56" s="923" t="n">
        <f aca="false">BS_IS!S55/BS_IS!S$53</f>
        <v>0.98578311228472</v>
      </c>
      <c r="T56" s="923" t="n">
        <f aca="false">BS_IS!T55/BS_IS!T$53</f>
        <v>0.684785184665763</v>
      </c>
      <c r="U56" s="923" t="n">
        <f aca="false">BS_IS!U55/BS_IS!U$53</f>
        <v>0.491722694071404</v>
      </c>
      <c r="V56" s="923" t="n">
        <f aca="false">BS_IS!V55/BS_IS!V$53</f>
        <v>0.522148260334414</v>
      </c>
      <c r="W56" s="923" t="n">
        <f aca="false">BS_IS!W55/BS_IS!W$53</f>
        <v>0.371264256266564</v>
      </c>
      <c r="X56" s="923" t="n">
        <f aca="false">BS_IS!X55/BS_IS!X$53</f>
        <v>0.322305322395725</v>
      </c>
      <c r="Y56" s="923" t="n">
        <f aca="false">BS_IS!Y55/BS_IS!Y$53</f>
        <v>0.300613874922338</v>
      </c>
      <c r="Z56" s="923" t="n">
        <f aca="false">BS_IS!Z55/BS_IS!Z$53</f>
        <v>0.304850488682479</v>
      </c>
      <c r="AA56" s="923" t="n">
        <f aca="false">BS_IS!AA55/BS_IS!AA$53</f>
        <v>0.266178843925764</v>
      </c>
      <c r="AB56" s="923" t="n">
        <f aca="false">BS_IS!AB55/BS_IS!AB$53</f>
        <v>0.903226284219904</v>
      </c>
    </row>
    <row r="57" customFormat="false" ht="12.75" hidden="false" customHeight="false" outlineLevel="0" collapsed="false">
      <c r="A57" s="943"/>
    </row>
    <row r="58" customFormat="false" ht="12.75" hidden="false" customHeight="false" outlineLevel="0" collapsed="false">
      <c r="A58" s="943" t="s">
        <v>905</v>
      </c>
      <c r="G58" s="923" t="e">
        <f aca="false">BS_IS!G57/BS_IS!G$53</f>
        <v>#DIV/0!</v>
      </c>
      <c r="H58" s="923" t="e">
        <f aca="false">BS_IS!H57/BS_IS!H$53</f>
        <v>#DIV/0!</v>
      </c>
      <c r="I58" s="923" t="e">
        <f aca="false">BS_IS!I57/BS_IS!I$53</f>
        <v>#DIV/0!</v>
      </c>
      <c r="J58" s="923" t="n">
        <f aca="false">BS_IS!J57/BS_IS!J$53</f>
        <v>-1.74518707093499</v>
      </c>
      <c r="K58" s="923" t="n">
        <f aca="false">BS_IS!K57/BS_IS!K$53</f>
        <v>-1.53078830941335</v>
      </c>
      <c r="L58" s="923" t="n">
        <f aca="false">BS_IS!L57/BS_IS!L$53</f>
        <v>-1.54889532166315</v>
      </c>
      <c r="M58" s="923" t="n">
        <f aca="false">BS_IS!M57/BS_IS!M$53</f>
        <v>-3.29182227119107</v>
      </c>
      <c r="N58" s="923" t="n">
        <f aca="false">BS_IS!N57/BS_IS!N$53</f>
        <v>-4.64575529393579</v>
      </c>
      <c r="O58" s="923" t="n">
        <f aca="false">BS_IS!O57/BS_IS!O$53</f>
        <v>-6.7962429119792</v>
      </c>
      <c r="P58" s="923" t="n">
        <f aca="false">BS_IS!P57/BS_IS!P$53</f>
        <v>-13.7750880226953</v>
      </c>
      <c r="Q58" s="923" t="n">
        <f aca="false">BS_IS!Q57/BS_IS!Q$53</f>
        <v>71.237187739819</v>
      </c>
      <c r="R58" s="923" t="n">
        <f aca="false">BS_IS!R57/BS_IS!R$53</f>
        <v>15.1527849089815</v>
      </c>
      <c r="S58" s="923" t="n">
        <f aca="false">BS_IS!S57/BS_IS!S$53</f>
        <v>8.71995719378295</v>
      </c>
      <c r="T58" s="923" t="n">
        <f aca="false">BS_IS!T57/BS_IS!T$53</f>
        <v>6.20936104430435</v>
      </c>
      <c r="U58" s="923" t="n">
        <f aca="false">BS_IS!U57/BS_IS!U$53</f>
        <v>4.58159110692984</v>
      </c>
      <c r="V58" s="923" t="n">
        <f aca="false">BS_IS!V57/BS_IS!V$53</f>
        <v>4.97152227538589</v>
      </c>
      <c r="W58" s="923" t="n">
        <f aca="false">BS_IS!W57/BS_IS!W$53</f>
        <v>3.62225564913713</v>
      </c>
      <c r="X58" s="923" t="n">
        <f aca="false">BS_IS!X57/BS_IS!X$53</f>
        <v>3.22323869530597</v>
      </c>
      <c r="Y58" s="923" t="n">
        <f aca="false">BS_IS!Y57/BS_IS!Y$53</f>
        <v>3.09105328967629</v>
      </c>
      <c r="Z58" s="923" t="n">
        <f aca="false">BS_IS!Z57/BS_IS!Z$53</f>
        <v>3.20719242221468</v>
      </c>
      <c r="AA58" s="923" t="n">
        <f aca="false">BS_IS!AA57/BS_IS!AA$53</f>
        <v>2.87419236096874</v>
      </c>
      <c r="AB58" s="923" t="n">
        <f aca="false">BS_IS!AB57/BS_IS!AB$53</f>
        <v>3.23284761262068</v>
      </c>
    </row>
    <row r="59" customFormat="false" ht="12.75" hidden="false" customHeight="false" outlineLevel="0" collapsed="false">
      <c r="A59" s="943" t="s">
        <v>762</v>
      </c>
      <c r="G59" s="923" t="e">
        <f aca="false">BS_IS!G58/BS_IS!G$53</f>
        <v>#DIV/0!</v>
      </c>
      <c r="H59" s="923" t="e">
        <f aca="false">BS_IS!H58/BS_IS!H$53</f>
        <v>#DIV/0!</v>
      </c>
      <c r="I59" s="923" t="e">
        <f aca="false">BS_IS!I58/BS_IS!I$53</f>
        <v>#DIV/0!</v>
      </c>
      <c r="J59" s="923" t="n">
        <f aca="false">BS_IS!J58/BS_IS!J$53</f>
        <v>0.355887230783371</v>
      </c>
      <c r="K59" s="923" t="n">
        <f aca="false">BS_IS!K58/BS_IS!K$53</f>
        <v>0.231145779903896</v>
      </c>
      <c r="L59" s="923" t="n">
        <f aca="false">BS_IS!L58/BS_IS!L$53</f>
        <v>0.328497252359665</v>
      </c>
      <c r="M59" s="923" t="n">
        <f aca="false">BS_IS!M58/BS_IS!M$53</f>
        <v>0.582886727813778</v>
      </c>
      <c r="N59" s="923" t="n">
        <f aca="false">BS_IS!N58/BS_IS!N$53</f>
        <v>0.685652170301486</v>
      </c>
      <c r="O59" s="923" t="n">
        <f aca="false">BS_IS!O58/BS_IS!O$53</f>
        <v>1.04342828010452</v>
      </c>
      <c r="P59" s="923" t="n">
        <f aca="false">BS_IS!P58/BS_IS!P$53</f>
        <v>2.05492788918606</v>
      </c>
      <c r="Q59" s="923" t="n">
        <f aca="false">BS_IS!Q58/BS_IS!Q$53</f>
        <v>-11.5436795948127</v>
      </c>
      <c r="R59" s="923" t="n">
        <f aca="false">BS_IS!R58/BS_IS!R$53</f>
        <v>-2.23474816514595</v>
      </c>
      <c r="S59" s="923" t="n">
        <f aca="false">BS_IS!S58/BS_IS!S$53</f>
        <v>-1.32854141845707</v>
      </c>
      <c r="T59" s="923" t="n">
        <f aca="false">BS_IS!T58/BS_IS!T$53</f>
        <v>-0.915533759262003</v>
      </c>
      <c r="U59" s="923" t="n">
        <f aca="false">BS_IS!U58/BS_IS!U$53</f>
        <v>-0.673658130731663</v>
      </c>
      <c r="V59" s="923" t="n">
        <f aca="false">BS_IS!V58/BS_IS!V$53</f>
        <v>-1.06090558009697</v>
      </c>
      <c r="W59" s="923" t="n">
        <f aca="false">BS_IS!W58/BS_IS!W$53</f>
        <v>-0.555648451944771</v>
      </c>
      <c r="X59" s="923" t="n">
        <f aca="false">BS_IS!X58/BS_IS!X$53</f>
        <v>-0.475272131438377</v>
      </c>
      <c r="Y59" s="923" t="n">
        <f aca="false">BS_IS!Y58/BS_IS!Y$53</f>
        <v>-0.459692749946106</v>
      </c>
      <c r="Z59" s="923" t="n">
        <f aca="false">BS_IS!Z58/BS_IS!Z$53</f>
        <v>-0.473045907907886</v>
      </c>
      <c r="AA59" s="923" t="n">
        <f aca="false">BS_IS!AA58/BS_IS!AA$53</f>
        <v>-0.420913710294166</v>
      </c>
      <c r="AB59" s="923" t="n">
        <f aca="false">BS_IS!AB58/BS_IS!AB$53</f>
        <v>-0.488919727314176</v>
      </c>
    </row>
    <row r="60" customFormat="false" ht="12.75" hidden="false" customHeight="false" outlineLevel="0" collapsed="false">
      <c r="A60" s="943" t="s">
        <v>906</v>
      </c>
      <c r="G60" s="923" t="e">
        <f aca="false">BS_IS!G59/BS_IS!G$53</f>
        <v>#DIV/0!</v>
      </c>
      <c r="H60" s="923" t="e">
        <f aca="false">BS_IS!H59/BS_IS!H$53</f>
        <v>#DIV/0!</v>
      </c>
      <c r="I60" s="923" t="e">
        <f aca="false">BS_IS!I59/BS_IS!I$53</f>
        <v>#DIV/0!</v>
      </c>
      <c r="J60" s="923" t="n">
        <f aca="false">BS_IS!J59/BS_IS!J$53</f>
        <v>-0</v>
      </c>
      <c r="K60" s="923" t="n">
        <f aca="false">BS_IS!K59/BS_IS!K$53</f>
        <v>-0</v>
      </c>
      <c r="L60" s="923" t="n">
        <f aca="false">BS_IS!L59/BS_IS!L$53</f>
        <v>-0</v>
      </c>
      <c r="M60" s="923" t="n">
        <f aca="false">BS_IS!M59/BS_IS!M$53</f>
        <v>-0</v>
      </c>
      <c r="N60" s="923" t="n">
        <f aca="false">BS_IS!N59/BS_IS!N$53</f>
        <v>-0</v>
      </c>
      <c r="O60" s="923" t="n">
        <f aca="false">BS_IS!O59/BS_IS!O$53</f>
        <v>-0</v>
      </c>
      <c r="P60" s="923" t="n">
        <f aca="false">BS_IS!P59/BS_IS!P$53</f>
        <v>-0</v>
      </c>
      <c r="Q60" s="923" t="n">
        <f aca="false">BS_IS!Q59/BS_IS!Q$53</f>
        <v>0</v>
      </c>
      <c r="R60" s="923" t="n">
        <f aca="false">BS_IS!R59/BS_IS!R$53</f>
        <v>0</v>
      </c>
      <c r="S60" s="923" t="n">
        <f aca="false">BS_IS!S59/BS_IS!S$53</f>
        <v>0</v>
      </c>
      <c r="T60" s="923" t="n">
        <f aca="false">BS_IS!T59/BS_IS!T$53</f>
        <v>0</v>
      </c>
      <c r="U60" s="923" t="n">
        <f aca="false">BS_IS!U59/BS_IS!U$53</f>
        <v>0</v>
      </c>
      <c r="V60" s="923" t="n">
        <f aca="false">BS_IS!V59/BS_IS!V$53</f>
        <v>0</v>
      </c>
      <c r="W60" s="923" t="n">
        <f aca="false">BS_IS!W59/BS_IS!W$53</f>
        <v>0</v>
      </c>
      <c r="X60" s="923" t="n">
        <f aca="false">BS_IS!X59/BS_IS!X$53</f>
        <v>0</v>
      </c>
      <c r="Y60" s="923" t="n">
        <f aca="false">BS_IS!Y59/BS_IS!Y$53</f>
        <v>0</v>
      </c>
      <c r="Z60" s="923" t="n">
        <f aca="false">BS_IS!Z59/BS_IS!Z$53</f>
        <v>0</v>
      </c>
      <c r="AA60" s="923" t="n">
        <f aca="false">BS_IS!AA59/BS_IS!AA$53</f>
        <v>0</v>
      </c>
      <c r="AB60" s="923" t="n">
        <f aca="false">BS_IS!AB59/BS_IS!AB$53</f>
        <v>0</v>
      </c>
    </row>
    <row r="61" customFormat="false" ht="12.75" hidden="false" customHeight="false" outlineLevel="0" collapsed="false">
      <c r="A61" s="943" t="s">
        <v>355</v>
      </c>
      <c r="G61" s="519" t="e">
        <f aca="false">BS_IS!G60/BS_IS!G$53</f>
        <v>#DIV/0!</v>
      </c>
      <c r="H61" s="519" t="e">
        <f aca="false">BS_IS!H60/BS_IS!H$53</f>
        <v>#DIV/0!</v>
      </c>
      <c r="I61" s="519" t="e">
        <f aca="false">BS_IS!I60/BS_IS!I$53</f>
        <v>#DIV/0!</v>
      </c>
      <c r="J61" s="519" t="n">
        <f aca="false">BS_IS!J60/BS_IS!J$53</f>
        <v>0</v>
      </c>
      <c r="K61" s="519" t="n">
        <f aca="false">BS_IS!K60/BS_IS!K$53</f>
        <v>0</v>
      </c>
      <c r="L61" s="519" t="n">
        <f aca="false">BS_IS!L60/BS_IS!L$53</f>
        <v>0</v>
      </c>
      <c r="M61" s="519" t="n">
        <f aca="false">BS_IS!M60/BS_IS!M$53</f>
        <v>0</v>
      </c>
      <c r="N61" s="519" t="n">
        <f aca="false">BS_IS!N60/BS_IS!N$53</f>
        <v>0</v>
      </c>
      <c r="O61" s="519" t="n">
        <f aca="false">BS_IS!O60/BS_IS!O$53</f>
        <v>0</v>
      </c>
      <c r="P61" s="519" t="n">
        <f aca="false">BS_IS!P60/BS_IS!P$53</f>
        <v>0.105892840538167</v>
      </c>
      <c r="Q61" s="519" t="n">
        <f aca="false">BS_IS!Q60/BS_IS!Q$53</f>
        <v>-1.58624354004792</v>
      </c>
      <c r="R61" s="519" t="n">
        <f aca="false">BS_IS!R60/BS_IS!R$53</f>
        <v>-0.554092504861611</v>
      </c>
      <c r="S61" s="519" t="n">
        <f aca="false">BS_IS!S60/BS_IS!S$53</f>
        <v>-0.371628033313733</v>
      </c>
      <c r="T61" s="519" t="n">
        <f aca="false">BS_IS!T60/BS_IS!T$53</f>
        <v>-0.31323032575389</v>
      </c>
      <c r="U61" s="519" t="n">
        <f aca="false">BS_IS!U60/BS_IS!U$53</f>
        <v>-0.265880465288746</v>
      </c>
      <c r="V61" s="519" t="n">
        <f aca="false">BS_IS!V60/BS_IS!V$53</f>
        <v>-0.252143932405215</v>
      </c>
      <c r="W61" s="519" t="n">
        <f aca="false">BS_IS!W60/BS_IS!W$53</f>
        <v>-0.295756846911283</v>
      </c>
      <c r="X61" s="519" t="n">
        <f aca="false">BS_IS!X60/BS_IS!X$53</f>
        <v>-0.295035690418699</v>
      </c>
      <c r="Y61" s="519" t="n">
        <f aca="false">BS_IS!Y60/BS_IS!Y$53</f>
        <v>-0.296642264957021</v>
      </c>
      <c r="Z61" s="519" t="n">
        <f aca="false">BS_IS!Z60/BS_IS!Z$53</f>
        <v>-0.315507424087515</v>
      </c>
      <c r="AA61" s="519" t="n">
        <f aca="false">BS_IS!AA60/BS_IS!AA$53</f>
        <v>-0.300262506240177</v>
      </c>
      <c r="AB61" s="519" t="n">
        <f aca="false">BS_IS!AB60/BS_IS!AB$53</f>
        <v>-0.487521679581944</v>
      </c>
    </row>
    <row r="62" customFormat="false" ht="13.5" hidden="false" customHeight="false" outlineLevel="0" collapsed="false">
      <c r="A62" s="953" t="s">
        <v>889</v>
      </c>
      <c r="B62" s="954"/>
      <c r="C62" s="954"/>
      <c r="D62" s="954"/>
      <c r="E62" s="954" t="s">
        <v>452</v>
      </c>
      <c r="F62" s="947"/>
      <c r="G62" s="947" t="e">
        <f aca="false">BS_IS!G61/BS_IS!G$53</f>
        <v>#DIV/0!</v>
      </c>
      <c r="H62" s="947" t="e">
        <f aca="false">BS_IS!H61/BS_IS!H$53</f>
        <v>#DIV/0!</v>
      </c>
      <c r="I62" s="947" t="e">
        <f aca="false">BS_IS!I61/BS_IS!I$53</f>
        <v>#DIV/0!</v>
      </c>
      <c r="J62" s="947" t="n">
        <f aca="false">BS_IS!J61/BS_IS!J$53</f>
        <v>-1.38929984015162</v>
      </c>
      <c r="K62" s="947" t="n">
        <f aca="false">BS_IS!K61/BS_IS!K$53</f>
        <v>-1.29964252950946</v>
      </c>
      <c r="L62" s="947" t="n">
        <f aca="false">BS_IS!L61/BS_IS!L$53</f>
        <v>-1.22039806930348</v>
      </c>
      <c r="M62" s="947" t="n">
        <f aca="false">BS_IS!M61/BS_IS!M$53</f>
        <v>-2.70893554337729</v>
      </c>
      <c r="N62" s="947" t="n">
        <f aca="false">BS_IS!N61/BS_IS!N$53</f>
        <v>-3.96010312363431</v>
      </c>
      <c r="O62" s="947" t="n">
        <f aca="false">BS_IS!O61/BS_IS!O$53</f>
        <v>-5.75281463187468</v>
      </c>
      <c r="P62" s="947" t="n">
        <f aca="false">BS_IS!P61/BS_IS!P$53</f>
        <v>-11.6142672929711</v>
      </c>
      <c r="Q62" s="947" t="n">
        <f aca="false">BS_IS!Q61/BS_IS!Q$53</f>
        <v>58.1072646049584</v>
      </c>
      <c r="R62" s="947" t="n">
        <f aca="false">BS_IS!R61/BS_IS!R$53</f>
        <v>12.3639442389739</v>
      </c>
      <c r="S62" s="947" t="n">
        <f aca="false">BS_IS!S61/BS_IS!S$53</f>
        <v>7.01978774201214</v>
      </c>
      <c r="T62" s="947" t="n">
        <f aca="false">BS_IS!T61/BS_IS!T$53</f>
        <v>4.98059695928845</v>
      </c>
      <c r="U62" s="947" t="n">
        <f aca="false">BS_IS!U61/BS_IS!U$53</f>
        <v>3.64205251090943</v>
      </c>
      <c r="V62" s="947" t="n">
        <f aca="false">BS_IS!V61/BS_IS!V$53</f>
        <v>3.65847276288371</v>
      </c>
      <c r="W62" s="947" t="n">
        <f aca="false">BS_IS!W61/BS_IS!W$53</f>
        <v>2.77085035028108</v>
      </c>
      <c r="X62" s="947" t="n">
        <f aca="false">BS_IS!X61/BS_IS!X$53</f>
        <v>2.4529308734489</v>
      </c>
      <c r="Y62" s="947" t="n">
        <f aca="false">BS_IS!Y61/BS_IS!Y$53</f>
        <v>2.33471827477317</v>
      </c>
      <c r="Z62" s="947" t="n">
        <f aca="false">BS_IS!Z61/BS_IS!Z$53</f>
        <v>2.41863909021928</v>
      </c>
      <c r="AA62" s="947" t="n">
        <f aca="false">BS_IS!AA61/BS_IS!AA$53</f>
        <v>2.1530161444344</v>
      </c>
      <c r="AB62" s="947" t="n">
        <f aca="false">BS_IS!AB61/BS_IS!AB$53</f>
        <v>2.25640620572456</v>
      </c>
      <c r="AC62" s="947"/>
      <c r="AD62" s="947"/>
      <c r="AE62" s="947"/>
      <c r="AF62" s="947"/>
      <c r="AG62" s="947"/>
      <c r="AH62" s="947"/>
      <c r="AI62" s="947"/>
      <c r="AJ62" s="947"/>
      <c r="AK62" s="947"/>
      <c r="AL62" s="947"/>
      <c r="AM62" s="947"/>
      <c r="AN62" s="947"/>
      <c r="AO62" s="947"/>
      <c r="AP62" s="947"/>
      <c r="AQ62" s="947"/>
      <c r="AR62" s="947"/>
      <c r="AS62" s="947"/>
      <c r="AT62" s="947"/>
      <c r="AU62" s="947"/>
      <c r="AV62" s="947"/>
      <c r="AW62" s="947"/>
      <c r="AX62" s="947"/>
      <c r="AY62" s="947"/>
      <c r="AZ62" s="947"/>
      <c r="BA62" s="947"/>
      <c r="BB62" s="947"/>
      <c r="BC62" s="947"/>
      <c r="BD62" s="947"/>
      <c r="BE62" s="947"/>
      <c r="BF62" s="947"/>
      <c r="BG62" s="947"/>
      <c r="BH62" s="947"/>
      <c r="BI62" s="947"/>
      <c r="BJ62" s="947"/>
      <c r="BK62" s="947"/>
      <c r="BL62" s="947"/>
      <c r="BM62" s="947"/>
      <c r="BN62" s="947"/>
      <c r="BO62" s="947"/>
      <c r="BP62" s="947"/>
      <c r="BQ62" s="947"/>
      <c r="BR62" s="947"/>
      <c r="BS62" s="947"/>
      <c r="BT62" s="947"/>
      <c r="BU62" s="947"/>
      <c r="BV62" s="947"/>
      <c r="BW62" s="947"/>
      <c r="BX62" s="947"/>
      <c r="BY62" s="947"/>
      <c r="BZ62" s="947"/>
      <c r="CA62" s="947"/>
      <c r="CB62" s="947"/>
      <c r="CC62" s="947"/>
      <c r="CD62" s="947"/>
      <c r="CE62" s="947"/>
      <c r="CF62" s="947"/>
      <c r="CG62" s="947"/>
      <c r="CH62" s="947"/>
      <c r="CI62" s="947"/>
      <c r="CJ62" s="947"/>
      <c r="CK62" s="947"/>
      <c r="CL62" s="947"/>
      <c r="CM62" s="947"/>
      <c r="CN62" s="947"/>
      <c r="CO62" s="947"/>
      <c r="CP62" s="947"/>
      <c r="CQ62" s="947"/>
      <c r="CR62" s="947"/>
      <c r="CS62" s="947"/>
      <c r="CT62" s="947"/>
      <c r="CU62" s="947"/>
      <c r="CV62" s="947"/>
      <c r="CW62" s="947"/>
      <c r="CX62" s="947"/>
      <c r="CY62" s="947"/>
      <c r="CZ62" s="947"/>
      <c r="DA62" s="947"/>
      <c r="DB62" s="947"/>
      <c r="DC62" s="947"/>
      <c r="DD62" s="947"/>
      <c r="DE62" s="947"/>
      <c r="DF62" s="947"/>
      <c r="DG62" s="947"/>
      <c r="DH62" s="947"/>
      <c r="DI62" s="947"/>
      <c r="DJ62" s="947"/>
      <c r="DK62" s="947"/>
      <c r="DL62" s="947"/>
      <c r="DM62" s="947"/>
      <c r="DN62" s="947"/>
      <c r="DO62" s="947"/>
      <c r="DP62" s="947"/>
      <c r="DQ62" s="947"/>
      <c r="DR62" s="947"/>
      <c r="DS62" s="947"/>
      <c r="DT62" s="947"/>
      <c r="DU62" s="947"/>
      <c r="DV62" s="947"/>
      <c r="DW62" s="947"/>
      <c r="DX62" s="947"/>
      <c r="DY62" s="947"/>
      <c r="DZ62" s="947"/>
      <c r="EA62" s="947"/>
      <c r="EB62" s="947"/>
      <c r="EC62" s="947"/>
      <c r="ED62" s="947"/>
      <c r="EE62" s="947"/>
      <c r="EF62" s="947"/>
      <c r="EG62" s="947"/>
      <c r="EH62" s="947"/>
      <c r="EI62" s="947"/>
      <c r="EJ62" s="947"/>
      <c r="EK62" s="947"/>
      <c r="EL62" s="947"/>
      <c r="EM62" s="947"/>
      <c r="EN62" s="947"/>
      <c r="EO62" s="947"/>
      <c r="EP62" s="947"/>
      <c r="EQ62" s="947"/>
      <c r="ER62" s="947"/>
      <c r="ES62" s="947"/>
      <c r="ET62" s="947"/>
      <c r="EU62" s="947"/>
      <c r="EV62" s="947"/>
      <c r="EW62" s="947"/>
      <c r="EX62" s="947"/>
      <c r="EY62" s="947"/>
      <c r="EZ62" s="947"/>
      <c r="FA62" s="947"/>
      <c r="FB62" s="947"/>
      <c r="FC62" s="947"/>
      <c r="FD62" s="947"/>
      <c r="FE62" s="947"/>
      <c r="FF62" s="947"/>
      <c r="FG62" s="947"/>
      <c r="FH62" s="947"/>
      <c r="FI62" s="947"/>
      <c r="FJ62" s="947"/>
      <c r="FK62" s="947"/>
      <c r="FL62" s="947"/>
      <c r="FM62" s="947"/>
      <c r="FN62" s="947"/>
      <c r="FO62" s="947"/>
      <c r="FP62" s="947"/>
      <c r="FQ62" s="947"/>
      <c r="FR62" s="947"/>
      <c r="FS62" s="947"/>
      <c r="FT62" s="947"/>
      <c r="FU62" s="947"/>
      <c r="FV62" s="947"/>
      <c r="FW62" s="947"/>
      <c r="FX62" s="947"/>
      <c r="FY62" s="947"/>
      <c r="FZ62" s="947"/>
      <c r="GA62" s="947"/>
      <c r="GB62" s="947"/>
      <c r="GC62" s="947"/>
      <c r="GD62" s="947"/>
      <c r="GE62" s="947"/>
      <c r="GF62" s="947"/>
      <c r="GG62" s="947"/>
      <c r="GH62" s="947"/>
      <c r="GI62" s="947"/>
      <c r="GJ62" s="947"/>
      <c r="GK62" s="947"/>
      <c r="GL62" s="947"/>
      <c r="GM62" s="947"/>
      <c r="GN62" s="947"/>
      <c r="GO62" s="947"/>
      <c r="GP62" s="947"/>
      <c r="GQ62" s="947"/>
      <c r="GR62" s="947"/>
      <c r="GS62" s="947"/>
      <c r="GT62" s="947"/>
      <c r="GU62" s="947"/>
      <c r="GV62" s="947"/>
      <c r="GW62" s="947"/>
      <c r="GX62" s="947"/>
      <c r="GY62" s="947"/>
      <c r="GZ62" s="947"/>
      <c r="HA62" s="947"/>
      <c r="HB62" s="947"/>
      <c r="HC62" s="947"/>
      <c r="HD62" s="947"/>
      <c r="HE62" s="947"/>
      <c r="HF62" s="947"/>
      <c r="HG62" s="947"/>
      <c r="HH62" s="947"/>
      <c r="HI62" s="947"/>
      <c r="HJ62" s="947"/>
      <c r="HK62" s="947"/>
      <c r="HL62" s="947"/>
      <c r="HM62" s="947"/>
      <c r="HN62" s="947"/>
      <c r="HO62" s="947"/>
      <c r="HP62" s="947"/>
      <c r="HQ62" s="947"/>
      <c r="HR62" s="947"/>
      <c r="HS62" s="947"/>
      <c r="HT62" s="947"/>
      <c r="HU62" s="947"/>
      <c r="HV62" s="947"/>
      <c r="HW62" s="947"/>
      <c r="HX62" s="947"/>
      <c r="HY62" s="947"/>
      <c r="HZ62" s="947"/>
      <c r="IA62" s="947"/>
      <c r="IB62" s="947"/>
      <c r="IC62" s="947"/>
      <c r="ID62" s="947"/>
      <c r="IE62" s="947"/>
      <c r="IF62" s="947"/>
      <c r="IG62" s="947"/>
      <c r="IH62" s="947"/>
      <c r="II62" s="947"/>
      <c r="IJ62" s="947"/>
      <c r="IK62" s="947"/>
      <c r="IL62" s="947"/>
      <c r="IM62" s="947"/>
      <c r="IN62" s="947"/>
      <c r="IO62" s="947"/>
      <c r="IP62" s="947"/>
      <c r="IQ62" s="947"/>
      <c r="IR62" s="947"/>
      <c r="IS62" s="947"/>
      <c r="IT62" s="947"/>
      <c r="IU62" s="947"/>
      <c r="IV62" s="947"/>
      <c r="IW62" s="947"/>
    </row>
    <row r="63" customFormat="false" ht="13.5" hidden="false" customHeight="false" outlineLevel="0" collapsed="false">
      <c r="A63" s="943"/>
    </row>
    <row r="65" customFormat="false" ht="13.5" hidden="false" customHeight="false" outlineLevel="0" collapsed="false">
      <c r="A65" s="951" t="s">
        <v>907</v>
      </c>
      <c r="B65" s="955"/>
      <c r="C65" s="955"/>
      <c r="D65" s="955"/>
      <c r="E65" s="955"/>
      <c r="F65" s="956" t="s">
        <v>908</v>
      </c>
      <c r="G65" s="957" t="n">
        <v>1998</v>
      </c>
      <c r="H65" s="957" t="n">
        <v>1999</v>
      </c>
      <c r="I65" s="957" t="n">
        <v>2000</v>
      </c>
      <c r="J65" s="957" t="n">
        <v>2001</v>
      </c>
      <c r="K65" s="957" t="n">
        <v>2002</v>
      </c>
      <c r="L65" s="957" t="n">
        <v>2003</v>
      </c>
      <c r="M65" s="957" t="n">
        <v>2004</v>
      </c>
      <c r="N65" s="957" t="n">
        <v>2005</v>
      </c>
      <c r="O65" s="957" t="n">
        <v>2006</v>
      </c>
      <c r="P65" s="957" t="n">
        <v>2007</v>
      </c>
      <c r="Q65" s="957" t="n">
        <v>2008</v>
      </c>
      <c r="R65" s="957" t="n">
        <v>2009</v>
      </c>
      <c r="S65" s="957" t="n">
        <v>2010</v>
      </c>
      <c r="T65" s="957" t="n">
        <v>2011</v>
      </c>
      <c r="U65" s="957" t="n">
        <v>2012</v>
      </c>
      <c r="V65" s="957" t="n">
        <v>2013</v>
      </c>
      <c r="W65" s="957" t="n">
        <v>2014</v>
      </c>
      <c r="X65" s="957" t="n">
        <v>2015</v>
      </c>
      <c r="Y65" s="957" t="n">
        <v>2016</v>
      </c>
      <c r="Z65" s="957" t="n">
        <v>2017</v>
      </c>
      <c r="AA65" s="957" t="n">
        <v>2018</v>
      </c>
      <c r="AB65" s="957" t="n">
        <v>2019</v>
      </c>
      <c r="AC65" s="958"/>
      <c r="AD65" s="958"/>
      <c r="AE65" s="958"/>
      <c r="AF65" s="958"/>
      <c r="AG65" s="958"/>
      <c r="AH65" s="958"/>
      <c r="AI65" s="958"/>
      <c r="AJ65" s="958"/>
      <c r="AK65" s="958"/>
      <c r="AL65" s="958"/>
      <c r="AM65" s="958"/>
      <c r="AN65" s="958"/>
      <c r="AO65" s="958"/>
      <c r="AP65" s="958"/>
      <c r="AQ65" s="958"/>
      <c r="AR65" s="958"/>
      <c r="AS65" s="958"/>
      <c r="AT65" s="958"/>
      <c r="AU65" s="958"/>
      <c r="AV65" s="958"/>
      <c r="AW65" s="958"/>
      <c r="AX65" s="958"/>
      <c r="AY65" s="958"/>
      <c r="AZ65" s="958"/>
    </row>
    <row r="66" customFormat="false" ht="12.75" hidden="false" customHeight="false" outlineLevel="0" collapsed="false">
      <c r="A66" s="562"/>
      <c r="B66" s="958"/>
      <c r="C66" s="958"/>
      <c r="D66" s="958"/>
      <c r="E66" s="958"/>
      <c r="F66" s="959"/>
      <c r="G66" s="958"/>
      <c r="H66" s="958"/>
      <c r="I66" s="958"/>
      <c r="J66" s="958"/>
      <c r="K66" s="958"/>
      <c r="L66" s="958"/>
      <c r="M66" s="958"/>
      <c r="N66" s="958"/>
      <c r="O66" s="958"/>
      <c r="P66" s="958"/>
      <c r="Q66" s="958"/>
      <c r="R66" s="958"/>
      <c r="S66" s="958"/>
      <c r="T66" s="958"/>
      <c r="U66" s="958"/>
      <c r="V66" s="958"/>
      <c r="W66" s="958"/>
      <c r="X66" s="958"/>
      <c r="Y66" s="958"/>
      <c r="Z66" s="958"/>
      <c r="AA66" s="958"/>
      <c r="AB66" s="958"/>
      <c r="AC66" s="958"/>
      <c r="AD66" s="958"/>
      <c r="AE66" s="958"/>
      <c r="AF66" s="958"/>
      <c r="AG66" s="958"/>
      <c r="AH66" s="958"/>
      <c r="AI66" s="958"/>
      <c r="AJ66" s="958"/>
      <c r="AK66" s="958"/>
      <c r="AL66" s="958"/>
      <c r="AM66" s="958"/>
      <c r="AN66" s="958"/>
      <c r="AO66" s="958"/>
      <c r="AP66" s="958"/>
      <c r="AQ66" s="958"/>
      <c r="AR66" s="958"/>
      <c r="AS66" s="958"/>
      <c r="AT66" s="958"/>
      <c r="AU66" s="958"/>
      <c r="AV66" s="958"/>
      <c r="AW66" s="958"/>
      <c r="AX66" s="958"/>
      <c r="AY66" s="958"/>
      <c r="AZ66" s="958"/>
    </row>
    <row r="67" customFormat="false" ht="12.75" hidden="false" customHeight="false" outlineLevel="0" collapsed="false">
      <c r="A67" s="562"/>
      <c r="B67" s="958"/>
      <c r="C67" s="958"/>
      <c r="D67" s="958"/>
      <c r="E67" s="958"/>
      <c r="F67" s="959"/>
      <c r="G67" s="958"/>
      <c r="H67" s="958"/>
      <c r="I67" s="958"/>
      <c r="J67" s="958"/>
      <c r="K67" s="958"/>
      <c r="L67" s="958"/>
      <c r="M67" s="958"/>
      <c r="N67" s="958"/>
      <c r="O67" s="958"/>
      <c r="P67" s="958"/>
      <c r="Q67" s="958"/>
      <c r="R67" s="958"/>
      <c r="S67" s="958"/>
      <c r="T67" s="958"/>
      <c r="U67" s="958"/>
      <c r="V67" s="958"/>
      <c r="W67" s="958"/>
      <c r="X67" s="958"/>
      <c r="Y67" s="958"/>
      <c r="Z67" s="958"/>
      <c r="AA67" s="958"/>
      <c r="AB67" s="958"/>
      <c r="AC67" s="958"/>
      <c r="AD67" s="958"/>
      <c r="AE67" s="958"/>
      <c r="AF67" s="958"/>
      <c r="AG67" s="958"/>
      <c r="AH67" s="958"/>
      <c r="AI67" s="958"/>
      <c r="AJ67" s="958"/>
      <c r="AK67" s="958"/>
      <c r="AL67" s="958"/>
      <c r="AM67" s="958"/>
      <c r="AN67" s="958"/>
      <c r="AO67" s="958"/>
      <c r="AP67" s="958"/>
      <c r="AQ67" s="958"/>
      <c r="AR67" s="958"/>
      <c r="AS67" s="958"/>
      <c r="AT67" s="958"/>
      <c r="AU67" s="958"/>
      <c r="AV67" s="958"/>
      <c r="AW67" s="958"/>
      <c r="AX67" s="958"/>
      <c r="AY67" s="958"/>
      <c r="AZ67" s="958"/>
    </row>
    <row r="68" customFormat="false" ht="12.75" hidden="false" customHeight="false" outlineLevel="0" collapsed="false">
      <c r="A68" s="960" t="s">
        <v>909</v>
      </c>
      <c r="B68" s="352"/>
      <c r="C68" s="352"/>
      <c r="D68" s="958"/>
      <c r="E68" s="958"/>
      <c r="F68" s="959"/>
      <c r="G68" s="958"/>
      <c r="H68" s="958"/>
      <c r="I68" s="958"/>
      <c r="J68" s="958"/>
      <c r="K68" s="958"/>
      <c r="L68" s="958"/>
      <c r="M68" s="958"/>
      <c r="N68" s="958"/>
      <c r="O68" s="958"/>
      <c r="P68" s="958"/>
      <c r="Q68" s="958"/>
      <c r="R68" s="958"/>
      <c r="S68" s="958"/>
      <c r="T68" s="958"/>
      <c r="U68" s="958"/>
      <c r="V68" s="958"/>
      <c r="W68" s="958"/>
      <c r="X68" s="958"/>
      <c r="Y68" s="958"/>
      <c r="Z68" s="958"/>
      <c r="AA68" s="958"/>
      <c r="AB68" s="958"/>
      <c r="AC68" s="958"/>
      <c r="AD68" s="958"/>
      <c r="AE68" s="958"/>
      <c r="AF68" s="958"/>
      <c r="AG68" s="958"/>
      <c r="AH68" s="958"/>
      <c r="AI68" s="958"/>
      <c r="AJ68" s="958"/>
      <c r="AK68" s="958"/>
      <c r="AL68" s="958"/>
      <c r="AM68" s="958"/>
      <c r="AN68" s="958"/>
      <c r="AO68" s="958"/>
      <c r="AP68" s="958"/>
      <c r="AQ68" s="958"/>
      <c r="AR68" s="958"/>
      <c r="AS68" s="958"/>
      <c r="AT68" s="958"/>
      <c r="AU68" s="958"/>
      <c r="AV68" s="958"/>
      <c r="AW68" s="958"/>
      <c r="AX68" s="958"/>
      <c r="AY68" s="958"/>
      <c r="AZ68" s="958"/>
    </row>
    <row r="69" customFormat="false" ht="12.75" hidden="false" customHeight="false" outlineLevel="0" collapsed="false">
      <c r="A69" s="961" t="s">
        <v>910</v>
      </c>
      <c r="B69" s="961"/>
      <c r="C69" s="961"/>
      <c r="D69" s="962"/>
      <c r="E69" s="962"/>
      <c r="F69" s="963" t="n">
        <f aca="false">AVERAGE(G69:AB69)</f>
        <v>0.0956415661651975</v>
      </c>
      <c r="G69" s="962" t="n">
        <f aca="false">BS_IS!G53/BS_IS!$G17</f>
        <v>0</v>
      </c>
      <c r="H69" s="962" t="n">
        <f aca="false">BS_IS!H53/BS_IS!$G17</f>
        <v>0</v>
      </c>
      <c r="I69" s="962" t="n">
        <f aca="false">BS_IS!I53/BS_IS!$G17</f>
        <v>0</v>
      </c>
      <c r="J69" s="962" t="n">
        <f aca="false">BS_IS!J53/BS_IS!$G17</f>
        <v>-0.730638451042085</v>
      </c>
      <c r="K69" s="962" t="n">
        <f aca="false">BS_IS!K53/BS_IS!$G17</f>
        <v>-1.40288124380647</v>
      </c>
      <c r="L69" s="962" t="n">
        <f aca="false">BS_IS!L53/BS_IS!$G17</f>
        <v>-1.42903609269304</v>
      </c>
      <c r="M69" s="962" t="n">
        <f aca="false">BS_IS!M53/BS_IS!$G17</f>
        <v>-0.694097011554399</v>
      </c>
      <c r="N69" s="962" t="n">
        <f aca="false">BS_IS!N53/BS_IS!$G17</f>
        <v>-0.504603621807207</v>
      </c>
      <c r="O69" s="962" t="n">
        <f aca="false">BS_IS!O53/BS_IS!$G17</f>
        <v>-0.35465488381874</v>
      </c>
      <c r="P69" s="962" t="n">
        <f aca="false">BS_IS!P53/BS_IS!$G17</f>
        <v>-0.179798415973469</v>
      </c>
      <c r="Q69" s="962" t="n">
        <f aca="false">BS_IS!Q53/BS_IS!$G17</f>
        <v>0.035800372742486</v>
      </c>
      <c r="R69" s="962" t="n">
        <f aca="false">BS_IS!R53/BS_IS!$G17</f>
        <v>0.172290977354377</v>
      </c>
      <c r="S69" s="962" t="n">
        <f aca="false">BS_IS!S53/BS_IS!$G17</f>
        <v>0.307170420784496</v>
      </c>
      <c r="T69" s="962" t="n">
        <f aca="false">BS_IS!T53/BS_IS!$G17</f>
        <v>0.442407441999487</v>
      </c>
      <c r="U69" s="962" t="n">
        <f aca="false">BS_IS!U53/BS_IS!$G17</f>
        <v>0.616413913748491</v>
      </c>
      <c r="V69" s="962" t="n">
        <f aca="false">BS_IS!V53/BS_IS!$G17</f>
        <v>0.58078400682914</v>
      </c>
      <c r="W69" s="962" t="n">
        <f aca="false">BS_IS!W53/BS_IS!$G17</f>
        <v>0.81722385642862</v>
      </c>
      <c r="X69" s="962" t="n">
        <f aca="false">BS_IS!X53/BS_IS!$G17</f>
        <v>0.941829484751541</v>
      </c>
      <c r="Y69" s="962" t="n">
        <f aca="false">BS_IS!Y53/BS_IS!$G17</f>
        <v>1.01029037421338</v>
      </c>
      <c r="Z69" s="962" t="n">
        <f aca="false">BS_IS!Z53/BS_IS!$G17</f>
        <v>0.996744187508555</v>
      </c>
      <c r="AA69" s="962" t="n">
        <f aca="false">BS_IS!AA53/BS_IS!$G17</f>
        <v>1.14212157748559</v>
      </c>
      <c r="AB69" s="962" t="n">
        <f aca="false">BS_IS!AB53/BS_IS!$G17</f>
        <v>0.33674756248359</v>
      </c>
      <c r="AC69" s="962"/>
      <c r="AD69" s="962"/>
      <c r="AE69" s="962"/>
      <c r="AF69" s="962"/>
      <c r="AG69" s="962"/>
      <c r="AH69" s="962"/>
      <c r="AI69" s="962"/>
      <c r="AJ69" s="962"/>
      <c r="AK69" s="962"/>
      <c r="AL69" s="962"/>
      <c r="AM69" s="962"/>
      <c r="AN69" s="962"/>
      <c r="AO69" s="962"/>
      <c r="AP69" s="962"/>
      <c r="AQ69" s="962"/>
      <c r="AR69" s="962"/>
      <c r="AS69" s="962"/>
      <c r="AT69" s="962"/>
      <c r="AU69" s="962"/>
      <c r="AV69" s="962"/>
      <c r="AW69" s="962"/>
      <c r="AX69" s="962"/>
      <c r="AY69" s="962"/>
      <c r="AZ69" s="962"/>
      <c r="BA69" s="962"/>
      <c r="BB69" s="962"/>
      <c r="BC69" s="962"/>
      <c r="BD69" s="962"/>
      <c r="BE69" s="962"/>
      <c r="BF69" s="962"/>
      <c r="BG69" s="962"/>
      <c r="BH69" s="962"/>
      <c r="BI69" s="962"/>
      <c r="BJ69" s="962"/>
      <c r="BK69" s="962"/>
      <c r="BL69" s="962"/>
      <c r="BM69" s="962"/>
      <c r="BN69" s="962"/>
      <c r="BO69" s="962"/>
      <c r="BP69" s="962"/>
      <c r="BQ69" s="962"/>
      <c r="BR69" s="962"/>
      <c r="BS69" s="962"/>
      <c r="BT69" s="962"/>
      <c r="BU69" s="962"/>
      <c r="BV69" s="962"/>
      <c r="BW69" s="962"/>
      <c r="BX69" s="962"/>
      <c r="BY69" s="962"/>
      <c r="BZ69" s="962"/>
      <c r="CA69" s="962"/>
      <c r="CB69" s="962"/>
      <c r="CC69" s="962"/>
      <c r="CD69" s="962"/>
      <c r="CE69" s="962"/>
      <c r="CF69" s="962"/>
      <c r="CG69" s="962"/>
      <c r="CH69" s="962"/>
      <c r="CI69" s="962"/>
      <c r="CJ69" s="962"/>
      <c r="CK69" s="962"/>
      <c r="CL69" s="962"/>
      <c r="CM69" s="962"/>
      <c r="CN69" s="962"/>
      <c r="CO69" s="962"/>
      <c r="CP69" s="962"/>
      <c r="CQ69" s="962"/>
      <c r="CR69" s="962"/>
      <c r="CS69" s="962"/>
      <c r="CT69" s="962"/>
      <c r="CU69" s="962"/>
      <c r="CV69" s="962"/>
      <c r="CW69" s="962"/>
      <c r="CX69" s="962"/>
      <c r="CY69" s="962"/>
      <c r="CZ69" s="962"/>
      <c r="DA69" s="962"/>
      <c r="DB69" s="962"/>
      <c r="DC69" s="962"/>
      <c r="DD69" s="962"/>
      <c r="DE69" s="962"/>
      <c r="DF69" s="962"/>
      <c r="DG69" s="962"/>
      <c r="DH69" s="962"/>
      <c r="DI69" s="962"/>
      <c r="DJ69" s="962"/>
      <c r="DK69" s="962"/>
      <c r="DL69" s="962"/>
      <c r="DM69" s="962"/>
      <c r="DN69" s="962"/>
      <c r="DO69" s="962"/>
      <c r="DP69" s="962"/>
      <c r="DQ69" s="962"/>
      <c r="DR69" s="962"/>
      <c r="DS69" s="962"/>
      <c r="DT69" s="962"/>
      <c r="DU69" s="962"/>
      <c r="DV69" s="962"/>
      <c r="DW69" s="962"/>
      <c r="DX69" s="962"/>
      <c r="DY69" s="962"/>
      <c r="DZ69" s="962"/>
      <c r="EA69" s="962"/>
      <c r="EB69" s="962"/>
      <c r="EC69" s="962"/>
      <c r="ED69" s="962"/>
      <c r="EE69" s="962"/>
      <c r="EF69" s="962"/>
      <c r="EG69" s="962"/>
      <c r="EH69" s="962"/>
      <c r="EI69" s="962"/>
      <c r="EJ69" s="962"/>
      <c r="EK69" s="962"/>
      <c r="EL69" s="962"/>
      <c r="EM69" s="962"/>
      <c r="EN69" s="962"/>
      <c r="EO69" s="962"/>
      <c r="EP69" s="962"/>
      <c r="EQ69" s="962"/>
      <c r="ER69" s="962"/>
      <c r="ES69" s="962"/>
      <c r="ET69" s="962"/>
      <c r="EU69" s="962"/>
      <c r="EV69" s="962"/>
      <c r="EW69" s="962"/>
      <c r="EX69" s="962"/>
      <c r="EY69" s="962"/>
      <c r="EZ69" s="962"/>
      <c r="FA69" s="962"/>
      <c r="FB69" s="962"/>
      <c r="FC69" s="962"/>
      <c r="FD69" s="962"/>
      <c r="FE69" s="962"/>
      <c r="FF69" s="962"/>
      <c r="FG69" s="962"/>
      <c r="FH69" s="962"/>
      <c r="FI69" s="962"/>
      <c r="FJ69" s="962"/>
      <c r="FK69" s="962"/>
      <c r="FL69" s="962"/>
      <c r="FM69" s="962"/>
      <c r="FN69" s="962"/>
      <c r="FO69" s="962"/>
      <c r="FP69" s="962"/>
      <c r="FQ69" s="962"/>
      <c r="FR69" s="962"/>
      <c r="FS69" s="962"/>
      <c r="FT69" s="962"/>
      <c r="FU69" s="962"/>
      <c r="FV69" s="962"/>
      <c r="FW69" s="962"/>
      <c r="FX69" s="962"/>
      <c r="FY69" s="962"/>
      <c r="FZ69" s="962"/>
      <c r="GA69" s="962"/>
      <c r="GB69" s="962"/>
      <c r="GC69" s="962"/>
      <c r="GD69" s="962"/>
      <c r="GE69" s="962"/>
      <c r="GF69" s="962"/>
      <c r="GG69" s="962"/>
      <c r="GH69" s="962"/>
      <c r="GI69" s="962"/>
      <c r="GJ69" s="962"/>
      <c r="GK69" s="962"/>
      <c r="GL69" s="962"/>
      <c r="GM69" s="962"/>
      <c r="GN69" s="962"/>
      <c r="GO69" s="962"/>
      <c r="GP69" s="962"/>
      <c r="GQ69" s="962"/>
      <c r="GR69" s="962"/>
      <c r="GS69" s="962"/>
      <c r="GT69" s="962"/>
      <c r="GU69" s="962"/>
      <c r="GV69" s="962"/>
      <c r="GW69" s="962"/>
      <c r="GX69" s="962"/>
      <c r="GY69" s="962"/>
      <c r="GZ69" s="962"/>
      <c r="HA69" s="962"/>
      <c r="HB69" s="962"/>
      <c r="HC69" s="962"/>
      <c r="HD69" s="962"/>
      <c r="HE69" s="962"/>
      <c r="HF69" s="962"/>
      <c r="HG69" s="962"/>
      <c r="HH69" s="962"/>
      <c r="HI69" s="962"/>
      <c r="HJ69" s="962"/>
      <c r="HK69" s="962"/>
      <c r="HL69" s="962"/>
      <c r="HM69" s="962"/>
      <c r="HN69" s="962"/>
      <c r="HO69" s="962"/>
      <c r="HP69" s="962"/>
      <c r="HQ69" s="962"/>
      <c r="HR69" s="962"/>
      <c r="HS69" s="962"/>
      <c r="HT69" s="962"/>
      <c r="HU69" s="962"/>
      <c r="HV69" s="962"/>
      <c r="HW69" s="962"/>
      <c r="HX69" s="962"/>
      <c r="HY69" s="962"/>
      <c r="HZ69" s="962"/>
      <c r="IA69" s="962"/>
      <c r="IB69" s="962"/>
      <c r="IC69" s="962"/>
      <c r="ID69" s="962"/>
      <c r="IE69" s="962"/>
      <c r="IF69" s="962"/>
      <c r="IG69" s="962"/>
      <c r="IH69" s="962"/>
      <c r="II69" s="962"/>
      <c r="IJ69" s="962"/>
      <c r="IK69" s="962"/>
      <c r="IL69" s="962"/>
      <c r="IM69" s="962"/>
      <c r="IN69" s="962"/>
      <c r="IO69" s="962"/>
      <c r="IP69" s="962"/>
      <c r="IQ69" s="962"/>
      <c r="IR69" s="962"/>
      <c r="IS69" s="962"/>
      <c r="IT69" s="962"/>
      <c r="IU69" s="962"/>
      <c r="IV69" s="962"/>
      <c r="IW69" s="962"/>
    </row>
    <row r="70" customFormat="false" ht="12.75" hidden="false" customHeight="false" outlineLevel="0" collapsed="false">
      <c r="A70" s="961" t="s">
        <v>911</v>
      </c>
      <c r="B70" s="961"/>
      <c r="C70" s="961"/>
      <c r="D70" s="962"/>
      <c r="E70" s="962"/>
      <c r="F70" s="963" t="n">
        <f aca="false">AVERAGE(G70:AB70)</f>
        <v>0.0217938441013564</v>
      </c>
      <c r="G70" s="962" t="n">
        <f aca="false">BS_IS!G53/BS_IS!G27</f>
        <v>0</v>
      </c>
      <c r="H70" s="962" t="n">
        <f aca="false">BS_IS!H53/BS_IS!H27</f>
        <v>0</v>
      </c>
      <c r="I70" s="962" t="n">
        <f aca="false">BS_IS!I53/BS_IS!I27</f>
        <v>0</v>
      </c>
      <c r="J70" s="962" t="n">
        <f aca="false">BS_IS!J53/BS_IS!J27</f>
        <v>-0.16649058704208</v>
      </c>
      <c r="K70" s="962" t="n">
        <f aca="false">BS_IS!K53/BS_IS!K27</f>
        <v>-0.319674555176413</v>
      </c>
      <c r="L70" s="962" t="n">
        <f aca="false">BS_IS!L53/BS_IS!L27</f>
        <v>-0.325634460706861</v>
      </c>
      <c r="M70" s="962" t="n">
        <f aca="false">BS_IS!M53/BS_IS!M27</f>
        <v>-0.158163889065824</v>
      </c>
      <c r="N70" s="962" t="n">
        <f aca="false">BS_IS!N53/BS_IS!N27</f>
        <v>-0.114984029513392</v>
      </c>
      <c r="O70" s="962" t="n">
        <f aca="false">BS_IS!O53/BS_IS!O27</f>
        <v>-0.0808152099305839</v>
      </c>
      <c r="P70" s="962" t="n">
        <f aca="false">BS_IS!P53/BS_IS!P27</f>
        <v>-0.040970665836111</v>
      </c>
      <c r="Q70" s="962" t="n">
        <f aca="false">BS_IS!Q53/BS_IS!Q27</f>
        <v>0.00815783109377918</v>
      </c>
      <c r="R70" s="962" t="n">
        <f aca="false">BS_IS!R53/BS_IS!R27</f>
        <v>0.039259945765066</v>
      </c>
      <c r="S70" s="962" t="n">
        <f aca="false">BS_IS!S53/BS_IS!S27</f>
        <v>0.0699949251307988</v>
      </c>
      <c r="T70" s="962" t="n">
        <f aca="false">BS_IS!T53/BS_IS!T27</f>
        <v>0.100811385747938</v>
      </c>
      <c r="U70" s="962" t="n">
        <f aca="false">BS_IS!U53/BS_IS!U27</f>
        <v>0.140462241228228</v>
      </c>
      <c r="V70" s="962" t="n">
        <f aca="false">BS_IS!V53/BS_IS!V27</f>
        <v>0.132343254182314</v>
      </c>
      <c r="W70" s="962" t="n">
        <f aca="false">BS_IS!W53/BS_IS!W27</f>
        <v>0.186220803747101</v>
      </c>
      <c r="X70" s="962" t="n">
        <f aca="false">BS_IS!X53/BS_IS!X27</f>
        <v>0.214614688819316</v>
      </c>
      <c r="Y70" s="962" t="n">
        <f aca="false">BS_IS!Y53/BS_IS!Y27</f>
        <v>0.230214872001119</v>
      </c>
      <c r="Z70" s="962" t="n">
        <f aca="false">BS_IS!Z53/BS_IS!Z27</f>
        <v>0.227128102377303</v>
      </c>
      <c r="AA70" s="962" t="n">
        <f aca="false">BS_IS!AA53/BS_IS!AA27</f>
        <v>0.260255248868704</v>
      </c>
      <c r="AB70" s="962" t="n">
        <f aca="false">BS_IS!AB53/BS_IS!AB27</f>
        <v>0.0767346685394375</v>
      </c>
      <c r="AC70" s="962"/>
      <c r="AD70" s="962"/>
      <c r="AE70" s="962"/>
      <c r="AF70" s="962"/>
      <c r="AG70" s="962"/>
      <c r="AH70" s="962"/>
      <c r="AI70" s="962"/>
      <c r="AJ70" s="962"/>
      <c r="AK70" s="962"/>
      <c r="AL70" s="962"/>
      <c r="AM70" s="962"/>
      <c r="AN70" s="962"/>
      <c r="AO70" s="962"/>
      <c r="AP70" s="962"/>
      <c r="AQ70" s="962"/>
      <c r="AR70" s="962"/>
      <c r="AS70" s="962"/>
      <c r="AT70" s="962"/>
      <c r="AU70" s="962"/>
      <c r="AV70" s="962"/>
      <c r="AW70" s="962"/>
      <c r="AX70" s="962"/>
      <c r="AY70" s="962"/>
      <c r="AZ70" s="962"/>
      <c r="BA70" s="962"/>
      <c r="BB70" s="962"/>
      <c r="BC70" s="962"/>
      <c r="BD70" s="962"/>
      <c r="BE70" s="962"/>
      <c r="BF70" s="962"/>
      <c r="BG70" s="962"/>
      <c r="BH70" s="962"/>
      <c r="BI70" s="962"/>
      <c r="BJ70" s="962"/>
      <c r="BK70" s="962"/>
      <c r="BL70" s="962"/>
      <c r="BM70" s="962"/>
      <c r="BN70" s="962"/>
      <c r="BO70" s="962"/>
      <c r="BP70" s="962"/>
      <c r="BQ70" s="962"/>
      <c r="BR70" s="962"/>
      <c r="BS70" s="962"/>
      <c r="BT70" s="962"/>
      <c r="BU70" s="962"/>
      <c r="BV70" s="962"/>
      <c r="BW70" s="962"/>
      <c r="BX70" s="962"/>
      <c r="BY70" s="962"/>
      <c r="BZ70" s="962"/>
      <c r="CA70" s="962"/>
      <c r="CB70" s="962"/>
      <c r="CC70" s="962"/>
      <c r="CD70" s="962"/>
      <c r="CE70" s="962"/>
      <c r="CF70" s="962"/>
      <c r="CG70" s="962"/>
      <c r="CH70" s="962"/>
      <c r="CI70" s="962"/>
      <c r="CJ70" s="962"/>
      <c r="CK70" s="962"/>
      <c r="CL70" s="962"/>
      <c r="CM70" s="962"/>
      <c r="CN70" s="962"/>
      <c r="CO70" s="962"/>
      <c r="CP70" s="962"/>
      <c r="CQ70" s="962"/>
      <c r="CR70" s="962"/>
      <c r="CS70" s="962"/>
      <c r="CT70" s="962"/>
      <c r="CU70" s="962"/>
      <c r="CV70" s="962"/>
      <c r="CW70" s="962"/>
      <c r="CX70" s="962"/>
      <c r="CY70" s="962"/>
      <c r="CZ70" s="962"/>
      <c r="DA70" s="962"/>
      <c r="DB70" s="962"/>
      <c r="DC70" s="962"/>
      <c r="DD70" s="962"/>
      <c r="DE70" s="962"/>
      <c r="DF70" s="962"/>
      <c r="DG70" s="962"/>
      <c r="DH70" s="962"/>
      <c r="DI70" s="962"/>
      <c r="DJ70" s="962"/>
      <c r="DK70" s="962"/>
      <c r="DL70" s="962"/>
      <c r="DM70" s="962"/>
      <c r="DN70" s="962"/>
      <c r="DO70" s="962"/>
      <c r="DP70" s="962"/>
      <c r="DQ70" s="962"/>
      <c r="DR70" s="962"/>
      <c r="DS70" s="962"/>
      <c r="DT70" s="962"/>
      <c r="DU70" s="962"/>
      <c r="DV70" s="962"/>
      <c r="DW70" s="962"/>
      <c r="DX70" s="962"/>
      <c r="DY70" s="962"/>
      <c r="DZ70" s="962"/>
      <c r="EA70" s="962"/>
      <c r="EB70" s="962"/>
      <c r="EC70" s="962"/>
      <c r="ED70" s="962"/>
      <c r="EE70" s="962"/>
      <c r="EF70" s="962"/>
      <c r="EG70" s="962"/>
      <c r="EH70" s="962"/>
      <c r="EI70" s="962"/>
      <c r="EJ70" s="962"/>
      <c r="EK70" s="962"/>
      <c r="EL70" s="962"/>
      <c r="EM70" s="962"/>
      <c r="EN70" s="962"/>
      <c r="EO70" s="962"/>
      <c r="EP70" s="962"/>
      <c r="EQ70" s="962"/>
      <c r="ER70" s="962"/>
      <c r="ES70" s="962"/>
      <c r="ET70" s="962"/>
      <c r="EU70" s="962"/>
      <c r="EV70" s="962"/>
      <c r="EW70" s="962"/>
      <c r="EX70" s="962"/>
      <c r="EY70" s="962"/>
      <c r="EZ70" s="962"/>
      <c r="FA70" s="962"/>
      <c r="FB70" s="962"/>
      <c r="FC70" s="962"/>
      <c r="FD70" s="962"/>
      <c r="FE70" s="962"/>
      <c r="FF70" s="962"/>
      <c r="FG70" s="962"/>
      <c r="FH70" s="962"/>
      <c r="FI70" s="962"/>
      <c r="FJ70" s="962"/>
      <c r="FK70" s="962"/>
      <c r="FL70" s="962"/>
      <c r="FM70" s="962"/>
      <c r="FN70" s="962"/>
      <c r="FO70" s="962"/>
      <c r="FP70" s="962"/>
      <c r="FQ70" s="962"/>
      <c r="FR70" s="962"/>
      <c r="FS70" s="962"/>
      <c r="FT70" s="962"/>
      <c r="FU70" s="962"/>
      <c r="FV70" s="962"/>
      <c r="FW70" s="962"/>
      <c r="FX70" s="962"/>
      <c r="FY70" s="962"/>
      <c r="FZ70" s="962"/>
      <c r="GA70" s="962"/>
      <c r="GB70" s="962"/>
      <c r="GC70" s="962"/>
      <c r="GD70" s="962"/>
      <c r="GE70" s="962"/>
      <c r="GF70" s="962"/>
      <c r="GG70" s="962"/>
      <c r="GH70" s="962"/>
      <c r="GI70" s="962"/>
      <c r="GJ70" s="962"/>
      <c r="GK70" s="962"/>
      <c r="GL70" s="962"/>
      <c r="GM70" s="962"/>
      <c r="GN70" s="962"/>
      <c r="GO70" s="962"/>
      <c r="GP70" s="962"/>
      <c r="GQ70" s="962"/>
      <c r="GR70" s="962"/>
      <c r="GS70" s="962"/>
      <c r="GT70" s="962"/>
      <c r="GU70" s="962"/>
      <c r="GV70" s="962"/>
      <c r="GW70" s="962"/>
      <c r="GX70" s="962"/>
      <c r="GY70" s="962"/>
      <c r="GZ70" s="962"/>
      <c r="HA70" s="962"/>
      <c r="HB70" s="962"/>
      <c r="HC70" s="962"/>
      <c r="HD70" s="962"/>
      <c r="HE70" s="962"/>
      <c r="HF70" s="962"/>
      <c r="HG70" s="962"/>
      <c r="HH70" s="962"/>
      <c r="HI70" s="962"/>
      <c r="HJ70" s="962"/>
      <c r="HK70" s="962"/>
      <c r="HL70" s="962"/>
      <c r="HM70" s="962"/>
      <c r="HN70" s="962"/>
      <c r="HO70" s="962"/>
      <c r="HP70" s="962"/>
      <c r="HQ70" s="962"/>
      <c r="HR70" s="962"/>
      <c r="HS70" s="962"/>
      <c r="HT70" s="962"/>
      <c r="HU70" s="962"/>
      <c r="HV70" s="962"/>
      <c r="HW70" s="962"/>
      <c r="HX70" s="962"/>
      <c r="HY70" s="962"/>
      <c r="HZ70" s="962"/>
      <c r="IA70" s="962"/>
      <c r="IB70" s="962"/>
      <c r="IC70" s="962"/>
      <c r="ID70" s="962"/>
      <c r="IE70" s="962"/>
      <c r="IF70" s="962"/>
      <c r="IG70" s="962"/>
      <c r="IH70" s="962"/>
      <c r="II70" s="962"/>
      <c r="IJ70" s="962"/>
      <c r="IK70" s="962"/>
      <c r="IL70" s="962"/>
      <c r="IM70" s="962"/>
      <c r="IN70" s="962"/>
      <c r="IO70" s="962"/>
      <c r="IP70" s="962"/>
      <c r="IQ70" s="962"/>
      <c r="IR70" s="962"/>
      <c r="IS70" s="962"/>
      <c r="IT70" s="962"/>
      <c r="IU70" s="962"/>
      <c r="IV70" s="962"/>
      <c r="IW70" s="962"/>
    </row>
    <row r="71" customFormat="false" ht="12.75" hidden="false" customHeight="false" outlineLevel="0" collapsed="false">
      <c r="A71" s="961"/>
      <c r="B71" s="961"/>
      <c r="C71" s="961"/>
      <c r="D71" s="962"/>
      <c r="E71" s="962"/>
      <c r="F71" s="963"/>
      <c r="G71" s="962"/>
      <c r="H71" s="962"/>
      <c r="I71" s="962"/>
      <c r="J71" s="962"/>
      <c r="K71" s="962"/>
      <c r="L71" s="962"/>
      <c r="M71" s="962"/>
      <c r="N71" s="962"/>
      <c r="O71" s="962"/>
      <c r="P71" s="962"/>
      <c r="Q71" s="962"/>
      <c r="R71" s="962"/>
      <c r="S71" s="962"/>
      <c r="T71" s="962"/>
      <c r="U71" s="962"/>
      <c r="V71" s="962"/>
      <c r="W71" s="962"/>
      <c r="X71" s="962"/>
      <c r="Y71" s="962"/>
      <c r="Z71" s="962"/>
      <c r="AA71" s="962"/>
      <c r="AB71" s="962"/>
      <c r="AC71" s="962"/>
      <c r="AD71" s="962"/>
      <c r="AE71" s="962"/>
      <c r="AF71" s="962"/>
      <c r="AG71" s="962"/>
      <c r="AH71" s="962"/>
      <c r="AI71" s="962"/>
      <c r="AJ71" s="962"/>
      <c r="AK71" s="962"/>
      <c r="AL71" s="962"/>
      <c r="AM71" s="962"/>
      <c r="AN71" s="962"/>
      <c r="AO71" s="962"/>
      <c r="AP71" s="962"/>
      <c r="AQ71" s="962"/>
      <c r="AR71" s="962"/>
      <c r="AS71" s="962"/>
      <c r="AT71" s="962"/>
      <c r="AU71" s="962"/>
      <c r="AV71" s="962"/>
      <c r="AW71" s="962"/>
      <c r="AX71" s="962"/>
      <c r="AY71" s="962"/>
      <c r="AZ71" s="962"/>
      <c r="BA71" s="962"/>
      <c r="BB71" s="962"/>
      <c r="BC71" s="962"/>
      <c r="BD71" s="962"/>
      <c r="BE71" s="962"/>
      <c r="BF71" s="962"/>
      <c r="BG71" s="962"/>
      <c r="BH71" s="962"/>
      <c r="BI71" s="962"/>
      <c r="BJ71" s="962"/>
      <c r="BK71" s="962"/>
      <c r="BL71" s="962"/>
      <c r="BM71" s="962"/>
      <c r="BN71" s="962"/>
      <c r="BO71" s="962"/>
      <c r="BP71" s="962"/>
      <c r="BQ71" s="962"/>
      <c r="BR71" s="962"/>
      <c r="BS71" s="962"/>
      <c r="BT71" s="962"/>
      <c r="BU71" s="962"/>
      <c r="BV71" s="962"/>
      <c r="BW71" s="962"/>
      <c r="BX71" s="962"/>
      <c r="BY71" s="962"/>
      <c r="BZ71" s="962"/>
      <c r="CA71" s="962"/>
      <c r="CB71" s="962"/>
      <c r="CC71" s="962"/>
      <c r="CD71" s="962"/>
      <c r="CE71" s="962"/>
      <c r="CF71" s="962"/>
      <c r="CG71" s="962"/>
      <c r="CH71" s="962"/>
      <c r="CI71" s="962"/>
      <c r="CJ71" s="962"/>
      <c r="CK71" s="962"/>
      <c r="CL71" s="962"/>
      <c r="CM71" s="962"/>
      <c r="CN71" s="962"/>
      <c r="CO71" s="962"/>
      <c r="CP71" s="962"/>
      <c r="CQ71" s="962"/>
      <c r="CR71" s="962"/>
      <c r="CS71" s="962"/>
      <c r="CT71" s="962"/>
      <c r="CU71" s="962"/>
      <c r="CV71" s="962"/>
      <c r="CW71" s="962"/>
      <c r="CX71" s="962"/>
      <c r="CY71" s="962"/>
      <c r="CZ71" s="962"/>
      <c r="DA71" s="962"/>
      <c r="DB71" s="962"/>
      <c r="DC71" s="962"/>
      <c r="DD71" s="962"/>
      <c r="DE71" s="962"/>
      <c r="DF71" s="962"/>
      <c r="DG71" s="962"/>
      <c r="DH71" s="962"/>
      <c r="DI71" s="962"/>
      <c r="DJ71" s="962"/>
      <c r="DK71" s="962"/>
      <c r="DL71" s="962"/>
      <c r="DM71" s="962"/>
      <c r="DN71" s="962"/>
      <c r="DO71" s="962"/>
      <c r="DP71" s="962"/>
      <c r="DQ71" s="962"/>
      <c r="DR71" s="962"/>
      <c r="DS71" s="962"/>
      <c r="DT71" s="962"/>
      <c r="DU71" s="962"/>
      <c r="DV71" s="962"/>
      <c r="DW71" s="962"/>
      <c r="DX71" s="962"/>
      <c r="DY71" s="962"/>
      <c r="DZ71" s="962"/>
      <c r="EA71" s="962"/>
      <c r="EB71" s="962"/>
      <c r="EC71" s="962"/>
      <c r="ED71" s="962"/>
      <c r="EE71" s="962"/>
      <c r="EF71" s="962"/>
      <c r="EG71" s="962"/>
      <c r="EH71" s="962"/>
      <c r="EI71" s="962"/>
      <c r="EJ71" s="962"/>
      <c r="EK71" s="962"/>
      <c r="EL71" s="962"/>
      <c r="EM71" s="962"/>
      <c r="EN71" s="962"/>
      <c r="EO71" s="962"/>
      <c r="EP71" s="962"/>
      <c r="EQ71" s="962"/>
      <c r="ER71" s="962"/>
      <c r="ES71" s="962"/>
      <c r="ET71" s="962"/>
      <c r="EU71" s="962"/>
      <c r="EV71" s="962"/>
      <c r="EW71" s="962"/>
      <c r="EX71" s="962"/>
      <c r="EY71" s="962"/>
      <c r="EZ71" s="962"/>
      <c r="FA71" s="962"/>
      <c r="FB71" s="962"/>
      <c r="FC71" s="962"/>
      <c r="FD71" s="962"/>
      <c r="FE71" s="962"/>
      <c r="FF71" s="962"/>
      <c r="FG71" s="962"/>
      <c r="FH71" s="962"/>
      <c r="FI71" s="962"/>
      <c r="FJ71" s="962"/>
      <c r="FK71" s="962"/>
      <c r="FL71" s="962"/>
      <c r="FM71" s="962"/>
      <c r="FN71" s="962"/>
      <c r="FO71" s="962"/>
      <c r="FP71" s="962"/>
      <c r="FQ71" s="962"/>
      <c r="FR71" s="962"/>
      <c r="FS71" s="962"/>
      <c r="FT71" s="962"/>
      <c r="FU71" s="962"/>
      <c r="FV71" s="962"/>
      <c r="FW71" s="962"/>
      <c r="FX71" s="962"/>
      <c r="FY71" s="962"/>
      <c r="FZ71" s="962"/>
      <c r="GA71" s="962"/>
      <c r="GB71" s="962"/>
      <c r="GC71" s="962"/>
      <c r="GD71" s="962"/>
      <c r="GE71" s="962"/>
      <c r="GF71" s="962"/>
      <c r="GG71" s="962"/>
      <c r="GH71" s="962"/>
      <c r="GI71" s="962"/>
      <c r="GJ71" s="962"/>
      <c r="GK71" s="962"/>
      <c r="GL71" s="962"/>
      <c r="GM71" s="962"/>
      <c r="GN71" s="962"/>
      <c r="GO71" s="962"/>
      <c r="GP71" s="962"/>
      <c r="GQ71" s="962"/>
      <c r="GR71" s="962"/>
      <c r="GS71" s="962"/>
      <c r="GT71" s="962"/>
      <c r="GU71" s="962"/>
      <c r="GV71" s="962"/>
      <c r="GW71" s="962"/>
      <c r="GX71" s="962"/>
      <c r="GY71" s="962"/>
      <c r="GZ71" s="962"/>
      <c r="HA71" s="962"/>
      <c r="HB71" s="962"/>
      <c r="HC71" s="962"/>
      <c r="HD71" s="962"/>
      <c r="HE71" s="962"/>
      <c r="HF71" s="962"/>
      <c r="HG71" s="962"/>
      <c r="HH71" s="962"/>
      <c r="HI71" s="962"/>
      <c r="HJ71" s="962"/>
      <c r="HK71" s="962"/>
      <c r="HL71" s="962"/>
      <c r="HM71" s="962"/>
      <c r="HN71" s="962"/>
      <c r="HO71" s="962"/>
      <c r="HP71" s="962"/>
      <c r="HQ71" s="962"/>
      <c r="HR71" s="962"/>
      <c r="HS71" s="962"/>
      <c r="HT71" s="962"/>
      <c r="HU71" s="962"/>
      <c r="HV71" s="962"/>
      <c r="HW71" s="962"/>
      <c r="HX71" s="962"/>
      <c r="HY71" s="962"/>
      <c r="HZ71" s="962"/>
      <c r="IA71" s="962"/>
      <c r="IB71" s="962"/>
      <c r="IC71" s="962"/>
      <c r="ID71" s="962"/>
      <c r="IE71" s="962"/>
      <c r="IF71" s="962"/>
      <c r="IG71" s="962"/>
      <c r="IH71" s="962"/>
      <c r="II71" s="962"/>
      <c r="IJ71" s="962"/>
      <c r="IK71" s="962"/>
      <c r="IL71" s="962"/>
      <c r="IM71" s="962"/>
      <c r="IN71" s="962"/>
      <c r="IO71" s="962"/>
      <c r="IP71" s="962"/>
      <c r="IQ71" s="962"/>
      <c r="IR71" s="962"/>
      <c r="IS71" s="962"/>
      <c r="IT71" s="962"/>
      <c r="IU71" s="962"/>
      <c r="IV71" s="962"/>
      <c r="IW71" s="962"/>
    </row>
    <row r="72" customFormat="false" ht="12.75" hidden="false" customHeight="false" outlineLevel="0" collapsed="false">
      <c r="A72" s="876" t="s">
        <v>912</v>
      </c>
      <c r="B72" s="961"/>
      <c r="C72" s="961"/>
      <c r="D72" s="962"/>
      <c r="E72" s="962"/>
      <c r="F72" s="963"/>
      <c r="G72" s="962"/>
      <c r="H72" s="962"/>
      <c r="I72" s="962"/>
      <c r="J72" s="962"/>
      <c r="K72" s="962"/>
      <c r="L72" s="962"/>
      <c r="M72" s="962"/>
      <c r="N72" s="962"/>
      <c r="O72" s="962"/>
      <c r="P72" s="962"/>
      <c r="Q72" s="962"/>
      <c r="R72" s="962"/>
      <c r="S72" s="962"/>
      <c r="T72" s="962"/>
      <c r="U72" s="962"/>
      <c r="V72" s="962"/>
      <c r="W72" s="962"/>
      <c r="X72" s="962"/>
      <c r="Y72" s="962"/>
      <c r="Z72" s="962"/>
      <c r="AA72" s="962"/>
      <c r="AB72" s="962"/>
      <c r="AC72" s="962"/>
      <c r="AD72" s="962"/>
      <c r="AE72" s="962"/>
      <c r="AF72" s="962"/>
      <c r="AG72" s="962"/>
      <c r="AH72" s="962"/>
      <c r="AI72" s="962"/>
      <c r="AJ72" s="962"/>
      <c r="AK72" s="962"/>
      <c r="AL72" s="962"/>
      <c r="AM72" s="962"/>
      <c r="AN72" s="962"/>
      <c r="AO72" s="962"/>
      <c r="AP72" s="962"/>
      <c r="AQ72" s="962"/>
      <c r="AR72" s="962"/>
      <c r="AS72" s="962"/>
      <c r="AT72" s="962"/>
      <c r="AU72" s="962"/>
      <c r="AV72" s="962"/>
      <c r="AW72" s="962"/>
      <c r="AX72" s="962"/>
      <c r="AY72" s="962"/>
      <c r="AZ72" s="962"/>
      <c r="BA72" s="962"/>
      <c r="BB72" s="962"/>
      <c r="BC72" s="962"/>
      <c r="BD72" s="962"/>
      <c r="BE72" s="962"/>
      <c r="BF72" s="962"/>
      <c r="BG72" s="962"/>
      <c r="BH72" s="962"/>
      <c r="BI72" s="962"/>
      <c r="BJ72" s="962"/>
      <c r="BK72" s="962"/>
      <c r="BL72" s="962"/>
      <c r="BM72" s="962"/>
      <c r="BN72" s="962"/>
      <c r="BO72" s="962"/>
      <c r="BP72" s="962"/>
      <c r="BQ72" s="962"/>
      <c r="BR72" s="962"/>
      <c r="BS72" s="962"/>
      <c r="BT72" s="962"/>
      <c r="BU72" s="962"/>
      <c r="BV72" s="962"/>
      <c r="BW72" s="962"/>
      <c r="BX72" s="962"/>
      <c r="BY72" s="962"/>
      <c r="BZ72" s="962"/>
      <c r="CA72" s="962"/>
      <c r="CB72" s="962"/>
      <c r="CC72" s="962"/>
      <c r="CD72" s="962"/>
      <c r="CE72" s="962"/>
      <c r="CF72" s="962"/>
      <c r="CG72" s="962"/>
      <c r="CH72" s="962"/>
      <c r="CI72" s="962"/>
      <c r="CJ72" s="962"/>
      <c r="CK72" s="962"/>
      <c r="CL72" s="962"/>
      <c r="CM72" s="962"/>
      <c r="CN72" s="962"/>
      <c r="CO72" s="962"/>
      <c r="CP72" s="962"/>
      <c r="CQ72" s="962"/>
      <c r="CR72" s="962"/>
      <c r="CS72" s="962"/>
      <c r="CT72" s="962"/>
      <c r="CU72" s="962"/>
      <c r="CV72" s="962"/>
      <c r="CW72" s="962"/>
      <c r="CX72" s="962"/>
      <c r="CY72" s="962"/>
      <c r="CZ72" s="962"/>
      <c r="DA72" s="962"/>
      <c r="DB72" s="962"/>
      <c r="DC72" s="962"/>
      <c r="DD72" s="962"/>
      <c r="DE72" s="962"/>
      <c r="DF72" s="962"/>
      <c r="DG72" s="962"/>
      <c r="DH72" s="962"/>
      <c r="DI72" s="962"/>
      <c r="DJ72" s="962"/>
      <c r="DK72" s="962"/>
      <c r="DL72" s="962"/>
      <c r="DM72" s="962"/>
      <c r="DN72" s="962"/>
      <c r="DO72" s="962"/>
      <c r="DP72" s="962"/>
      <c r="DQ72" s="962"/>
      <c r="DR72" s="962"/>
      <c r="DS72" s="962"/>
      <c r="DT72" s="962"/>
      <c r="DU72" s="962"/>
      <c r="DV72" s="962"/>
      <c r="DW72" s="962"/>
      <c r="DX72" s="962"/>
      <c r="DY72" s="962"/>
      <c r="DZ72" s="962"/>
      <c r="EA72" s="962"/>
      <c r="EB72" s="962"/>
      <c r="EC72" s="962"/>
      <c r="ED72" s="962"/>
      <c r="EE72" s="962"/>
      <c r="EF72" s="962"/>
      <c r="EG72" s="962"/>
      <c r="EH72" s="962"/>
      <c r="EI72" s="962"/>
      <c r="EJ72" s="962"/>
      <c r="EK72" s="962"/>
      <c r="EL72" s="962"/>
      <c r="EM72" s="962"/>
      <c r="EN72" s="962"/>
      <c r="EO72" s="962"/>
      <c r="EP72" s="962"/>
      <c r="EQ72" s="962"/>
      <c r="ER72" s="962"/>
      <c r="ES72" s="962"/>
      <c r="ET72" s="962"/>
      <c r="EU72" s="962"/>
      <c r="EV72" s="962"/>
      <c r="EW72" s="962"/>
      <c r="EX72" s="962"/>
      <c r="EY72" s="962"/>
      <c r="EZ72" s="962"/>
      <c r="FA72" s="962"/>
      <c r="FB72" s="962"/>
      <c r="FC72" s="962"/>
      <c r="FD72" s="962"/>
      <c r="FE72" s="962"/>
      <c r="FF72" s="962"/>
      <c r="FG72" s="962"/>
      <c r="FH72" s="962"/>
      <c r="FI72" s="962"/>
      <c r="FJ72" s="962"/>
      <c r="FK72" s="962"/>
      <c r="FL72" s="962"/>
      <c r="FM72" s="962"/>
      <c r="FN72" s="962"/>
      <c r="FO72" s="962"/>
      <c r="FP72" s="962"/>
      <c r="FQ72" s="962"/>
      <c r="FR72" s="962"/>
      <c r="FS72" s="962"/>
      <c r="FT72" s="962"/>
      <c r="FU72" s="962"/>
      <c r="FV72" s="962"/>
      <c r="FW72" s="962"/>
      <c r="FX72" s="962"/>
      <c r="FY72" s="962"/>
      <c r="FZ72" s="962"/>
      <c r="GA72" s="962"/>
      <c r="GB72" s="962"/>
      <c r="GC72" s="962"/>
      <c r="GD72" s="962"/>
      <c r="GE72" s="962"/>
      <c r="GF72" s="962"/>
      <c r="GG72" s="962"/>
      <c r="GH72" s="962"/>
      <c r="GI72" s="962"/>
      <c r="GJ72" s="962"/>
      <c r="GK72" s="962"/>
      <c r="GL72" s="962"/>
      <c r="GM72" s="962"/>
      <c r="GN72" s="962"/>
      <c r="GO72" s="962"/>
      <c r="GP72" s="962"/>
      <c r="GQ72" s="962"/>
      <c r="GR72" s="962"/>
      <c r="GS72" s="962"/>
      <c r="GT72" s="962"/>
      <c r="GU72" s="962"/>
      <c r="GV72" s="962"/>
      <c r="GW72" s="962"/>
      <c r="GX72" s="962"/>
      <c r="GY72" s="962"/>
      <c r="GZ72" s="962"/>
      <c r="HA72" s="962"/>
      <c r="HB72" s="962"/>
      <c r="HC72" s="962"/>
      <c r="HD72" s="962"/>
      <c r="HE72" s="962"/>
      <c r="HF72" s="962"/>
      <c r="HG72" s="962"/>
      <c r="HH72" s="962"/>
      <c r="HI72" s="962"/>
      <c r="HJ72" s="962"/>
      <c r="HK72" s="962"/>
      <c r="HL72" s="962"/>
      <c r="HM72" s="962"/>
      <c r="HN72" s="962"/>
      <c r="HO72" s="962"/>
      <c r="HP72" s="962"/>
      <c r="HQ72" s="962"/>
      <c r="HR72" s="962"/>
      <c r="HS72" s="962"/>
      <c r="HT72" s="962"/>
      <c r="HU72" s="962"/>
      <c r="HV72" s="962"/>
      <c r="HW72" s="962"/>
      <c r="HX72" s="962"/>
      <c r="HY72" s="962"/>
      <c r="HZ72" s="962"/>
      <c r="IA72" s="962"/>
      <c r="IB72" s="962"/>
      <c r="IC72" s="962"/>
      <c r="ID72" s="962"/>
      <c r="IE72" s="962"/>
      <c r="IF72" s="962"/>
      <c r="IG72" s="962"/>
      <c r="IH72" s="962"/>
      <c r="II72" s="962"/>
      <c r="IJ72" s="962"/>
      <c r="IK72" s="962"/>
      <c r="IL72" s="962"/>
      <c r="IM72" s="962"/>
      <c r="IN72" s="962"/>
      <c r="IO72" s="962"/>
      <c r="IP72" s="962"/>
      <c r="IQ72" s="962"/>
      <c r="IR72" s="962"/>
      <c r="IS72" s="962"/>
      <c r="IT72" s="962"/>
      <c r="IU72" s="962"/>
      <c r="IV72" s="962"/>
      <c r="IW72" s="962"/>
    </row>
    <row r="73" customFormat="false" ht="12.75" hidden="false" customHeight="false" outlineLevel="0" collapsed="false">
      <c r="A73" s="961" t="s">
        <v>913</v>
      </c>
      <c r="B73" s="961"/>
      <c r="C73" s="961"/>
      <c r="D73" s="962"/>
      <c r="E73" s="962"/>
      <c r="F73" s="963" t="n">
        <f aca="false">AVERAGE(J73:AB73)</f>
        <v>0.755427784978307</v>
      </c>
      <c r="G73" s="926" t="e">
        <f aca="false">(BS_IS!G38+BS_IS!G39+BS_IS!G40)/BS_IS!G38</f>
        <v>#DIV/0!</v>
      </c>
      <c r="H73" s="926" t="e">
        <f aca="false">(BS_IS!H38+BS_IS!H39+BS_IS!H40)/BS_IS!H38</f>
        <v>#DIV/0!</v>
      </c>
      <c r="I73" s="926" t="e">
        <f aca="false">(BS_IS!I38+BS_IS!I39+BS_IS!I40)/BS_IS!I38</f>
        <v>#DIV/0!</v>
      </c>
      <c r="J73" s="926" t="n">
        <f aca="false">(BS_IS!J38+BS_IS!J39+BS_IS!J40)/BS_IS!J38</f>
        <v>0.598493583980238</v>
      </c>
      <c r="K73" s="926" t="n">
        <f aca="false">(BS_IS!K38+BS_IS!K39+BS_IS!K40)/BS_IS!K38</f>
        <v>0.568428663078801</v>
      </c>
      <c r="L73" s="926" t="n">
        <f aca="false">(BS_IS!L38+BS_IS!L39+BS_IS!L40)/BS_IS!L38</f>
        <v>0.520869805355534</v>
      </c>
      <c r="M73" s="926" t="n">
        <f aca="false">(BS_IS!M38+BS_IS!M39+BS_IS!M40)/BS_IS!M38</f>
        <v>0.796223012963166</v>
      </c>
      <c r="N73" s="926" t="n">
        <f aca="false">(BS_IS!N38+BS_IS!N39+BS_IS!N40)/BS_IS!N38</f>
        <v>0.805831234618649</v>
      </c>
      <c r="O73" s="926" t="n">
        <f aca="false">(BS_IS!O38+BS_IS!O39+BS_IS!O40)/BS_IS!O38</f>
        <v>0.785590289285445</v>
      </c>
      <c r="P73" s="926" t="n">
        <f aca="false">(BS_IS!P38+BS_IS!P39+BS_IS!P40)/BS_IS!P38</f>
        <v>0.775642200772266</v>
      </c>
      <c r="Q73" s="926" t="n">
        <f aca="false">(BS_IS!Q38+BS_IS!Q39+BS_IS!Q40)/BS_IS!Q38</f>
        <v>0.751084121825483</v>
      </c>
      <c r="R73" s="926" t="n">
        <f aca="false">(BS_IS!R38+BS_IS!R39+BS_IS!R40)/BS_IS!R38</f>
        <v>0.754967542732679</v>
      </c>
      <c r="S73" s="926" t="n">
        <f aca="false">(BS_IS!S38+BS_IS!S39+BS_IS!S40)/BS_IS!S38</f>
        <v>0.750389032221988</v>
      </c>
      <c r="T73" s="926" t="n">
        <f aca="false">(BS_IS!T38+BS_IS!T39+BS_IS!T40)/BS_IS!T38</f>
        <v>0.761198579785839</v>
      </c>
      <c r="U73" s="926" t="n">
        <f aca="false">(BS_IS!U38+BS_IS!U39+BS_IS!U40)/BS_IS!U38</f>
        <v>0.766625887615883</v>
      </c>
      <c r="V73" s="926" t="n">
        <f aca="false">(BS_IS!V38+BS_IS!V39+BS_IS!V40)/BS_IS!V38</f>
        <v>0.704442412618258</v>
      </c>
      <c r="W73" s="926" t="n">
        <f aca="false">(BS_IS!W38+BS_IS!W39+BS_IS!W40)/BS_IS!W38</f>
        <v>0.776848262056418</v>
      </c>
      <c r="X73" s="926" t="n">
        <f aca="false">(BS_IS!X38+BS_IS!X39+BS_IS!X40)/BS_IS!X38</f>
        <v>0.798981100587175</v>
      </c>
      <c r="Y73" s="926" t="n">
        <f aca="false">(BS_IS!Y38+BS_IS!Y39+BS_IS!Y40)/BS_IS!Y38</f>
        <v>0.821340716094564</v>
      </c>
      <c r="Z73" s="926" t="n">
        <f aca="false">(BS_IS!Z38+BS_IS!Z39+BS_IS!Z40)/BS_IS!Z38</f>
        <v>0.853982266931793</v>
      </c>
      <c r="AA73" s="926" t="n">
        <f aca="false">(BS_IS!AA38+BS_IS!AA39+BS_IS!AA40)/BS_IS!AA38</f>
        <v>0.876142607644829</v>
      </c>
      <c r="AB73" s="926" t="n">
        <f aca="false">(BS_IS!AB38+BS_IS!AB39+BS_IS!AB40)/BS_IS!AB38</f>
        <v>0.886046594418828</v>
      </c>
      <c r="AC73" s="962"/>
      <c r="AD73" s="962"/>
      <c r="AE73" s="962"/>
      <c r="AF73" s="962"/>
      <c r="AG73" s="962"/>
      <c r="AH73" s="962"/>
      <c r="AI73" s="962"/>
      <c r="AJ73" s="962"/>
      <c r="AK73" s="962"/>
      <c r="AL73" s="962"/>
      <c r="AM73" s="962"/>
      <c r="AN73" s="962"/>
      <c r="AO73" s="962"/>
      <c r="AP73" s="962"/>
      <c r="AQ73" s="962"/>
      <c r="AR73" s="962"/>
      <c r="AS73" s="962"/>
      <c r="AT73" s="962"/>
      <c r="AU73" s="962"/>
      <c r="AV73" s="962"/>
      <c r="AW73" s="962"/>
      <c r="AX73" s="962"/>
      <c r="AY73" s="962"/>
      <c r="AZ73" s="962"/>
      <c r="BA73" s="962"/>
      <c r="BB73" s="962"/>
      <c r="BC73" s="962"/>
      <c r="BD73" s="962"/>
      <c r="BE73" s="962"/>
      <c r="BF73" s="962"/>
      <c r="BG73" s="962"/>
      <c r="BH73" s="962"/>
      <c r="BI73" s="962"/>
      <c r="BJ73" s="962"/>
      <c r="BK73" s="962"/>
      <c r="BL73" s="962"/>
      <c r="BM73" s="962"/>
      <c r="BN73" s="962"/>
      <c r="BO73" s="962"/>
      <c r="BP73" s="962"/>
      <c r="BQ73" s="962"/>
      <c r="BR73" s="962"/>
      <c r="BS73" s="962"/>
      <c r="BT73" s="962"/>
      <c r="BU73" s="962"/>
      <c r="BV73" s="962"/>
      <c r="BW73" s="962"/>
      <c r="BX73" s="962"/>
      <c r="BY73" s="962"/>
      <c r="BZ73" s="962"/>
      <c r="CA73" s="962"/>
      <c r="CB73" s="962"/>
      <c r="CC73" s="962"/>
      <c r="CD73" s="962"/>
      <c r="CE73" s="962"/>
      <c r="CF73" s="962"/>
      <c r="CG73" s="962"/>
      <c r="CH73" s="962"/>
      <c r="CI73" s="962"/>
      <c r="CJ73" s="962"/>
      <c r="CK73" s="962"/>
      <c r="CL73" s="962"/>
      <c r="CM73" s="962"/>
      <c r="CN73" s="962"/>
      <c r="CO73" s="962"/>
      <c r="CP73" s="962"/>
      <c r="CQ73" s="962"/>
      <c r="CR73" s="962"/>
      <c r="CS73" s="962"/>
      <c r="CT73" s="962"/>
      <c r="CU73" s="962"/>
      <c r="CV73" s="962"/>
      <c r="CW73" s="962"/>
      <c r="CX73" s="962"/>
      <c r="CY73" s="962"/>
      <c r="CZ73" s="962"/>
      <c r="DA73" s="962"/>
      <c r="DB73" s="962"/>
      <c r="DC73" s="962"/>
      <c r="DD73" s="962"/>
      <c r="DE73" s="962"/>
      <c r="DF73" s="962"/>
      <c r="DG73" s="962"/>
      <c r="DH73" s="962"/>
      <c r="DI73" s="962"/>
      <c r="DJ73" s="962"/>
      <c r="DK73" s="962"/>
      <c r="DL73" s="962"/>
      <c r="DM73" s="962"/>
      <c r="DN73" s="962"/>
      <c r="DO73" s="962"/>
      <c r="DP73" s="962"/>
      <c r="DQ73" s="962"/>
      <c r="DR73" s="962"/>
      <c r="DS73" s="962"/>
      <c r="DT73" s="962"/>
      <c r="DU73" s="962"/>
      <c r="DV73" s="962"/>
      <c r="DW73" s="962"/>
      <c r="DX73" s="962"/>
      <c r="DY73" s="962"/>
      <c r="DZ73" s="962"/>
      <c r="EA73" s="962"/>
      <c r="EB73" s="962"/>
      <c r="EC73" s="962"/>
      <c r="ED73" s="962"/>
      <c r="EE73" s="962"/>
      <c r="EF73" s="962"/>
      <c r="EG73" s="962"/>
      <c r="EH73" s="962"/>
      <c r="EI73" s="962"/>
      <c r="EJ73" s="962"/>
      <c r="EK73" s="962"/>
      <c r="EL73" s="962"/>
      <c r="EM73" s="962"/>
      <c r="EN73" s="962"/>
      <c r="EO73" s="962"/>
      <c r="EP73" s="962"/>
      <c r="EQ73" s="962"/>
      <c r="ER73" s="962"/>
      <c r="ES73" s="962"/>
      <c r="ET73" s="962"/>
      <c r="EU73" s="962"/>
      <c r="EV73" s="962"/>
      <c r="EW73" s="962"/>
      <c r="EX73" s="962"/>
      <c r="EY73" s="962"/>
      <c r="EZ73" s="962"/>
      <c r="FA73" s="962"/>
      <c r="FB73" s="962"/>
      <c r="FC73" s="962"/>
      <c r="FD73" s="962"/>
      <c r="FE73" s="962"/>
      <c r="FF73" s="962"/>
      <c r="FG73" s="962"/>
      <c r="FH73" s="962"/>
      <c r="FI73" s="962"/>
      <c r="FJ73" s="962"/>
      <c r="FK73" s="962"/>
      <c r="FL73" s="962"/>
      <c r="FM73" s="962"/>
      <c r="FN73" s="962"/>
      <c r="FO73" s="962"/>
      <c r="FP73" s="962"/>
      <c r="FQ73" s="962"/>
      <c r="FR73" s="962"/>
      <c r="FS73" s="962"/>
      <c r="FT73" s="962"/>
      <c r="FU73" s="962"/>
      <c r="FV73" s="962"/>
      <c r="FW73" s="962"/>
      <c r="FX73" s="962"/>
      <c r="FY73" s="962"/>
      <c r="FZ73" s="962"/>
      <c r="GA73" s="962"/>
      <c r="GB73" s="962"/>
      <c r="GC73" s="962"/>
      <c r="GD73" s="962"/>
      <c r="GE73" s="962"/>
      <c r="GF73" s="962"/>
      <c r="GG73" s="962"/>
      <c r="GH73" s="962"/>
      <c r="GI73" s="962"/>
      <c r="GJ73" s="962"/>
      <c r="GK73" s="962"/>
      <c r="GL73" s="962"/>
      <c r="GM73" s="962"/>
      <c r="GN73" s="962"/>
      <c r="GO73" s="962"/>
      <c r="GP73" s="962"/>
      <c r="GQ73" s="962"/>
      <c r="GR73" s="962"/>
      <c r="GS73" s="962"/>
      <c r="GT73" s="962"/>
      <c r="GU73" s="962"/>
      <c r="GV73" s="962"/>
      <c r="GW73" s="962"/>
      <c r="GX73" s="962"/>
      <c r="GY73" s="962"/>
      <c r="GZ73" s="962"/>
      <c r="HA73" s="962"/>
      <c r="HB73" s="962"/>
      <c r="HC73" s="962"/>
      <c r="HD73" s="962"/>
      <c r="HE73" s="962"/>
      <c r="HF73" s="962"/>
      <c r="HG73" s="962"/>
      <c r="HH73" s="962"/>
      <c r="HI73" s="962"/>
      <c r="HJ73" s="962"/>
      <c r="HK73" s="962"/>
      <c r="HL73" s="962"/>
      <c r="HM73" s="962"/>
      <c r="HN73" s="962"/>
      <c r="HO73" s="962"/>
      <c r="HP73" s="962"/>
      <c r="HQ73" s="962"/>
      <c r="HR73" s="962"/>
      <c r="HS73" s="962"/>
      <c r="HT73" s="962"/>
      <c r="HU73" s="962"/>
      <c r="HV73" s="962"/>
      <c r="HW73" s="962"/>
      <c r="HX73" s="962"/>
      <c r="HY73" s="962"/>
      <c r="HZ73" s="962"/>
      <c r="IA73" s="962"/>
      <c r="IB73" s="962"/>
      <c r="IC73" s="962"/>
      <c r="ID73" s="962"/>
      <c r="IE73" s="962"/>
      <c r="IF73" s="962"/>
      <c r="IG73" s="962"/>
      <c r="IH73" s="962"/>
      <c r="II73" s="962"/>
      <c r="IJ73" s="962"/>
      <c r="IK73" s="962"/>
      <c r="IL73" s="962"/>
      <c r="IM73" s="962"/>
      <c r="IN73" s="962"/>
      <c r="IO73" s="962"/>
      <c r="IP73" s="962"/>
      <c r="IQ73" s="962"/>
      <c r="IR73" s="962"/>
      <c r="IS73" s="962"/>
      <c r="IT73" s="962"/>
      <c r="IU73" s="962"/>
      <c r="IV73" s="962"/>
      <c r="IW73" s="962"/>
    </row>
    <row r="74" customFormat="false" ht="12.75" hidden="false" customHeight="false" outlineLevel="0" collapsed="false">
      <c r="A74" s="961" t="s">
        <v>914</v>
      </c>
      <c r="B74" s="961"/>
      <c r="C74" s="961"/>
      <c r="D74" s="962"/>
      <c r="E74" s="962"/>
      <c r="F74" s="963" t="n">
        <f aca="false">AVERAGE(J74:AB74)</f>
        <v>0.00228404880386892</v>
      </c>
      <c r="G74" s="962" t="e">
        <f aca="false">BS_IS!G53/BS_IS!G38</f>
        <v>#DIV/0!</v>
      </c>
      <c r="H74" s="962" t="e">
        <f aca="false">BS_IS!H53/BS_IS!H38</f>
        <v>#DIV/0!</v>
      </c>
      <c r="I74" s="962" t="e">
        <f aca="false">BS_IS!I53/BS_IS!I38</f>
        <v>#DIV/0!</v>
      </c>
      <c r="J74" s="962" t="n">
        <f aca="false">BS_IS!J53/BS_IS!J38</f>
        <v>-0.573004474221921</v>
      </c>
      <c r="K74" s="962" t="n">
        <f aca="false">BS_IS!K53/BS_IS!K38</f>
        <v>-0.653258189816744</v>
      </c>
      <c r="L74" s="962" t="n">
        <f aca="false">BS_IS!L53/BS_IS!L38</f>
        <v>-0.645621421934593</v>
      </c>
      <c r="M74" s="962" t="n">
        <f aca="false">BS_IS!M53/BS_IS!M38</f>
        <v>-0.303783107840198</v>
      </c>
      <c r="N74" s="962" t="n">
        <f aca="false">BS_IS!N53/BS_IS!N38</f>
        <v>-0.21525025248431</v>
      </c>
      <c r="O74" s="962" t="n">
        <f aca="false">BS_IS!O53/BS_IS!O38</f>
        <v>-0.147140120350522</v>
      </c>
      <c r="P74" s="962" t="n">
        <f aca="false">BS_IS!P53/BS_IS!P38</f>
        <v>-0.0725948174234849</v>
      </c>
      <c r="Q74" s="962" t="n">
        <f aca="false">BS_IS!Q53/BS_IS!Q38</f>
        <v>0.0140376119794667</v>
      </c>
      <c r="R74" s="962" t="n">
        <f aca="false">BS_IS!R53/BS_IS!R38</f>
        <v>0.065994469399963</v>
      </c>
      <c r="S74" s="962" t="n">
        <f aca="false">BS_IS!S53/BS_IS!S38</f>
        <v>0.11467946204059</v>
      </c>
      <c r="T74" s="962" t="n">
        <f aca="false">BS_IS!T53/BS_IS!T38</f>
        <v>0.161047166184236</v>
      </c>
      <c r="U74" s="962" t="n">
        <f aca="false">BS_IS!U53/BS_IS!U38</f>
        <v>0.218264785455747</v>
      </c>
      <c r="V74" s="962" t="n">
        <f aca="false">BS_IS!V53/BS_IS!V38</f>
        <v>0.201145633994445</v>
      </c>
      <c r="W74" s="962" t="n">
        <f aca="false">BS_IS!W53/BS_IS!W38</f>
        <v>0.276071071968157</v>
      </c>
      <c r="X74" s="962" t="n">
        <f aca="false">BS_IS!X53/BS_IS!X38</f>
        <v>0.310246957960733</v>
      </c>
      <c r="Y74" s="962" t="n">
        <f aca="false">BS_IS!Y53/BS_IS!Y38</f>
        <v>0.323514318999244</v>
      </c>
      <c r="Z74" s="962" t="n">
        <f aca="false">BS_IS!Z53/BS_IS!Z38</f>
        <v>0.311799190180633</v>
      </c>
      <c r="AA74" s="962" t="n">
        <f aca="false">BS_IS!AA53/BS_IS!AA38</f>
        <v>0.347923824995121</v>
      </c>
      <c r="AB74" s="962" t="n">
        <f aca="false">BS_IS!AB53/BS_IS!AB38</f>
        <v>0.309324818186948</v>
      </c>
      <c r="AC74" s="962"/>
      <c r="AD74" s="962"/>
      <c r="AE74" s="962"/>
      <c r="AF74" s="962"/>
      <c r="AG74" s="962"/>
      <c r="AH74" s="962"/>
      <c r="AI74" s="962"/>
      <c r="AJ74" s="962"/>
      <c r="AK74" s="962"/>
      <c r="AL74" s="962"/>
      <c r="AM74" s="962"/>
      <c r="AN74" s="962"/>
      <c r="AO74" s="962"/>
      <c r="AP74" s="962"/>
      <c r="AQ74" s="962"/>
      <c r="AR74" s="962"/>
      <c r="AS74" s="962"/>
      <c r="AT74" s="962"/>
      <c r="AU74" s="962"/>
      <c r="AV74" s="962"/>
      <c r="AW74" s="962"/>
      <c r="AX74" s="962"/>
      <c r="AY74" s="962"/>
      <c r="AZ74" s="962"/>
      <c r="BA74" s="962"/>
      <c r="BB74" s="962"/>
      <c r="BC74" s="962"/>
      <c r="BD74" s="962"/>
      <c r="BE74" s="962"/>
      <c r="BF74" s="962"/>
      <c r="BG74" s="962"/>
      <c r="BH74" s="962"/>
      <c r="BI74" s="962"/>
      <c r="BJ74" s="962"/>
      <c r="BK74" s="962"/>
      <c r="BL74" s="962"/>
      <c r="BM74" s="962"/>
      <c r="BN74" s="962"/>
      <c r="BO74" s="962"/>
      <c r="BP74" s="962"/>
      <c r="BQ74" s="962"/>
      <c r="BR74" s="962"/>
      <c r="BS74" s="962"/>
      <c r="BT74" s="962"/>
      <c r="BU74" s="962"/>
      <c r="BV74" s="962"/>
      <c r="BW74" s="962"/>
      <c r="BX74" s="962"/>
      <c r="BY74" s="962"/>
      <c r="BZ74" s="962"/>
      <c r="CA74" s="962"/>
      <c r="CB74" s="962"/>
      <c r="CC74" s="962"/>
      <c r="CD74" s="962"/>
      <c r="CE74" s="962"/>
      <c r="CF74" s="962"/>
      <c r="CG74" s="962"/>
      <c r="CH74" s="962"/>
      <c r="CI74" s="962"/>
      <c r="CJ74" s="962"/>
      <c r="CK74" s="962"/>
      <c r="CL74" s="962"/>
      <c r="CM74" s="962"/>
      <c r="CN74" s="962"/>
      <c r="CO74" s="962"/>
      <c r="CP74" s="962"/>
      <c r="CQ74" s="962"/>
      <c r="CR74" s="962"/>
      <c r="CS74" s="962"/>
      <c r="CT74" s="962"/>
      <c r="CU74" s="962"/>
      <c r="CV74" s="962"/>
      <c r="CW74" s="962"/>
      <c r="CX74" s="962"/>
      <c r="CY74" s="962"/>
      <c r="CZ74" s="962"/>
      <c r="DA74" s="962"/>
      <c r="DB74" s="962"/>
      <c r="DC74" s="962"/>
      <c r="DD74" s="962"/>
      <c r="DE74" s="962"/>
      <c r="DF74" s="962"/>
      <c r="DG74" s="962"/>
      <c r="DH74" s="962"/>
      <c r="DI74" s="962"/>
      <c r="DJ74" s="962"/>
      <c r="DK74" s="962"/>
      <c r="DL74" s="962"/>
      <c r="DM74" s="962"/>
      <c r="DN74" s="962"/>
      <c r="DO74" s="962"/>
      <c r="DP74" s="962"/>
      <c r="DQ74" s="962"/>
      <c r="DR74" s="962"/>
      <c r="DS74" s="962"/>
      <c r="DT74" s="962"/>
      <c r="DU74" s="962"/>
      <c r="DV74" s="962"/>
      <c r="DW74" s="962"/>
      <c r="DX74" s="962"/>
      <c r="DY74" s="962"/>
      <c r="DZ74" s="962"/>
      <c r="EA74" s="962"/>
      <c r="EB74" s="962"/>
      <c r="EC74" s="962"/>
      <c r="ED74" s="962"/>
      <c r="EE74" s="962"/>
      <c r="EF74" s="962"/>
      <c r="EG74" s="962"/>
      <c r="EH74" s="962"/>
      <c r="EI74" s="962"/>
      <c r="EJ74" s="962"/>
      <c r="EK74" s="962"/>
      <c r="EL74" s="962"/>
      <c r="EM74" s="962"/>
      <c r="EN74" s="962"/>
      <c r="EO74" s="962"/>
      <c r="EP74" s="962"/>
      <c r="EQ74" s="962"/>
      <c r="ER74" s="962"/>
      <c r="ES74" s="962"/>
      <c r="ET74" s="962"/>
      <c r="EU74" s="962"/>
      <c r="EV74" s="962"/>
      <c r="EW74" s="962"/>
      <c r="EX74" s="962"/>
      <c r="EY74" s="962"/>
      <c r="EZ74" s="962"/>
      <c r="FA74" s="962"/>
      <c r="FB74" s="962"/>
      <c r="FC74" s="962"/>
      <c r="FD74" s="962"/>
      <c r="FE74" s="962"/>
      <c r="FF74" s="962"/>
      <c r="FG74" s="962"/>
      <c r="FH74" s="962"/>
      <c r="FI74" s="962"/>
      <c r="FJ74" s="962"/>
      <c r="FK74" s="962"/>
      <c r="FL74" s="962"/>
      <c r="FM74" s="962"/>
      <c r="FN74" s="962"/>
      <c r="FO74" s="962"/>
      <c r="FP74" s="962"/>
      <c r="FQ74" s="962"/>
      <c r="FR74" s="962"/>
      <c r="FS74" s="962"/>
      <c r="FT74" s="962"/>
      <c r="FU74" s="962"/>
      <c r="FV74" s="962"/>
      <c r="FW74" s="962"/>
      <c r="FX74" s="962"/>
      <c r="FY74" s="962"/>
      <c r="FZ74" s="962"/>
      <c r="GA74" s="962"/>
      <c r="GB74" s="962"/>
      <c r="GC74" s="962"/>
      <c r="GD74" s="962"/>
      <c r="GE74" s="962"/>
      <c r="GF74" s="962"/>
      <c r="GG74" s="962"/>
      <c r="GH74" s="962"/>
      <c r="GI74" s="962"/>
      <c r="GJ74" s="962"/>
      <c r="GK74" s="962"/>
      <c r="GL74" s="962"/>
      <c r="GM74" s="962"/>
      <c r="GN74" s="962"/>
      <c r="GO74" s="962"/>
      <c r="GP74" s="962"/>
      <c r="GQ74" s="962"/>
      <c r="GR74" s="962"/>
      <c r="GS74" s="962"/>
      <c r="GT74" s="962"/>
      <c r="GU74" s="962"/>
      <c r="GV74" s="962"/>
      <c r="GW74" s="962"/>
      <c r="GX74" s="962"/>
      <c r="GY74" s="962"/>
      <c r="GZ74" s="962"/>
      <c r="HA74" s="962"/>
      <c r="HB74" s="962"/>
      <c r="HC74" s="962"/>
      <c r="HD74" s="962"/>
      <c r="HE74" s="962"/>
      <c r="HF74" s="962"/>
      <c r="HG74" s="962"/>
      <c r="HH74" s="962"/>
      <c r="HI74" s="962"/>
      <c r="HJ74" s="962"/>
      <c r="HK74" s="962"/>
      <c r="HL74" s="962"/>
      <c r="HM74" s="962"/>
      <c r="HN74" s="962"/>
      <c r="HO74" s="962"/>
      <c r="HP74" s="962"/>
      <c r="HQ74" s="962"/>
      <c r="HR74" s="962"/>
      <c r="HS74" s="962"/>
      <c r="HT74" s="962"/>
      <c r="HU74" s="962"/>
      <c r="HV74" s="962"/>
      <c r="HW74" s="962"/>
      <c r="HX74" s="962"/>
      <c r="HY74" s="962"/>
      <c r="HZ74" s="962"/>
      <c r="IA74" s="962"/>
      <c r="IB74" s="962"/>
      <c r="IC74" s="962"/>
      <c r="ID74" s="962"/>
      <c r="IE74" s="962"/>
      <c r="IF74" s="962"/>
      <c r="IG74" s="962"/>
      <c r="IH74" s="962"/>
      <c r="II74" s="962"/>
      <c r="IJ74" s="962"/>
      <c r="IK74" s="962"/>
      <c r="IL74" s="962"/>
      <c r="IM74" s="962"/>
      <c r="IN74" s="962"/>
      <c r="IO74" s="962"/>
      <c r="IP74" s="962"/>
      <c r="IQ74" s="962"/>
      <c r="IR74" s="962"/>
      <c r="IS74" s="962"/>
      <c r="IT74" s="962"/>
      <c r="IU74" s="962"/>
      <c r="IV74" s="962"/>
      <c r="IW74" s="962"/>
    </row>
    <row r="75" customFormat="false" ht="12.75" hidden="false" customHeight="false" outlineLevel="0" collapsed="false">
      <c r="A75" s="964" t="s">
        <v>915</v>
      </c>
      <c r="B75" s="964"/>
      <c r="C75" s="964"/>
      <c r="D75" s="965"/>
      <c r="E75" s="965"/>
      <c r="F75" s="966" t="n">
        <f aca="false">AVERAGE(J75:AB75)</f>
        <v>4.01122203826766</v>
      </c>
      <c r="G75" s="965" t="e">
        <f aca="false">BS_IS!G61/BS_IS!G53</f>
        <v>#DIV/0!</v>
      </c>
      <c r="H75" s="965" t="e">
        <f aca="false">BS_IS!H61/BS_IS!H53</f>
        <v>#DIV/0!</v>
      </c>
      <c r="I75" s="965" t="e">
        <f aca="false">BS_IS!I61/BS_IS!I53</f>
        <v>#DIV/0!</v>
      </c>
      <c r="J75" s="965" t="n">
        <f aca="false">BS_IS!J61/BS_IS!J53</f>
        <v>-1.38929984015162</v>
      </c>
      <c r="K75" s="965" t="n">
        <f aca="false">BS_IS!K61/BS_IS!K53</f>
        <v>-1.29964252950946</v>
      </c>
      <c r="L75" s="965" t="n">
        <f aca="false">BS_IS!L61/BS_IS!L53</f>
        <v>-1.22039806930348</v>
      </c>
      <c r="M75" s="965" t="n">
        <f aca="false">BS_IS!M61/BS_IS!M53</f>
        <v>-2.70893554337729</v>
      </c>
      <c r="N75" s="965" t="n">
        <f aca="false">BS_IS!N61/BS_IS!N53</f>
        <v>-3.96010312363431</v>
      </c>
      <c r="O75" s="965" t="n">
        <f aca="false">BS_IS!O61/BS_IS!O53</f>
        <v>-5.75281463187468</v>
      </c>
      <c r="P75" s="965" t="n">
        <f aca="false">BS_IS!P61/BS_IS!P53</f>
        <v>-11.6142672929711</v>
      </c>
      <c r="Q75" s="965" t="n">
        <f aca="false">BS_IS!Q61/BS_IS!Q53</f>
        <v>58.1072646049584</v>
      </c>
      <c r="R75" s="965" t="n">
        <f aca="false">BS_IS!R61/BS_IS!R53</f>
        <v>12.3639442389739</v>
      </c>
      <c r="S75" s="965" t="n">
        <f aca="false">BS_IS!S61/BS_IS!S53</f>
        <v>7.01978774201214</v>
      </c>
      <c r="T75" s="965" t="n">
        <f aca="false">BS_IS!T61/BS_IS!T53</f>
        <v>4.98059695928845</v>
      </c>
      <c r="U75" s="965" t="n">
        <f aca="false">BS_IS!U61/BS_IS!U53</f>
        <v>3.64205251090943</v>
      </c>
      <c r="V75" s="965" t="n">
        <f aca="false">BS_IS!V61/BS_IS!V53</f>
        <v>3.65847276288371</v>
      </c>
      <c r="W75" s="965" t="n">
        <f aca="false">BS_IS!W61/BS_IS!W53</f>
        <v>2.77085035028108</v>
      </c>
      <c r="X75" s="965" t="n">
        <f aca="false">BS_IS!X61/BS_IS!X53</f>
        <v>2.4529308734489</v>
      </c>
      <c r="Y75" s="965" t="n">
        <f aca="false">BS_IS!Y61/BS_IS!Y53</f>
        <v>2.33471827477317</v>
      </c>
      <c r="Z75" s="965" t="n">
        <f aca="false">BS_IS!Z61/BS_IS!Z53</f>
        <v>2.41863909021928</v>
      </c>
      <c r="AA75" s="965" t="n">
        <f aca="false">BS_IS!AA61/BS_IS!AA53</f>
        <v>2.1530161444344</v>
      </c>
      <c r="AB75" s="965" t="n">
        <f aca="false">BS_IS!AB61/BS_IS!AB53</f>
        <v>2.25640620572456</v>
      </c>
      <c r="AC75" s="965"/>
      <c r="AD75" s="965"/>
      <c r="AE75" s="965"/>
      <c r="AF75" s="965"/>
      <c r="AG75" s="965"/>
      <c r="AH75" s="965"/>
      <c r="AI75" s="965"/>
      <c r="AJ75" s="965"/>
      <c r="AK75" s="965"/>
      <c r="AL75" s="965"/>
      <c r="AM75" s="965"/>
      <c r="AN75" s="965"/>
      <c r="AO75" s="965"/>
      <c r="AP75" s="965"/>
      <c r="AQ75" s="965"/>
      <c r="AR75" s="965"/>
      <c r="AS75" s="965"/>
      <c r="AT75" s="965"/>
      <c r="AU75" s="965"/>
      <c r="AV75" s="965"/>
      <c r="AW75" s="965"/>
      <c r="AX75" s="965"/>
      <c r="AY75" s="965"/>
      <c r="AZ75" s="965"/>
      <c r="BA75" s="965"/>
      <c r="BB75" s="965"/>
      <c r="BC75" s="965"/>
      <c r="BD75" s="965"/>
      <c r="BE75" s="965"/>
      <c r="BF75" s="965"/>
      <c r="BG75" s="965"/>
      <c r="BH75" s="965"/>
      <c r="BI75" s="965"/>
      <c r="BJ75" s="965"/>
      <c r="BK75" s="965"/>
      <c r="BL75" s="965"/>
      <c r="BM75" s="965"/>
      <c r="BN75" s="965"/>
      <c r="BO75" s="965"/>
      <c r="BP75" s="965"/>
      <c r="BQ75" s="965"/>
      <c r="BR75" s="965"/>
      <c r="BS75" s="965"/>
      <c r="BT75" s="965"/>
      <c r="BU75" s="965"/>
      <c r="BV75" s="965"/>
      <c r="BW75" s="965"/>
      <c r="BX75" s="965"/>
      <c r="BY75" s="965"/>
      <c r="BZ75" s="965"/>
      <c r="CA75" s="965"/>
      <c r="CB75" s="965"/>
      <c r="CC75" s="965"/>
      <c r="CD75" s="965"/>
      <c r="CE75" s="965"/>
      <c r="CF75" s="965"/>
      <c r="CG75" s="965"/>
      <c r="CH75" s="965"/>
      <c r="CI75" s="965"/>
      <c r="CJ75" s="965"/>
      <c r="CK75" s="965"/>
      <c r="CL75" s="965"/>
      <c r="CM75" s="965"/>
      <c r="CN75" s="965"/>
      <c r="CO75" s="965"/>
      <c r="CP75" s="965"/>
      <c r="CQ75" s="965"/>
      <c r="CR75" s="965"/>
      <c r="CS75" s="965"/>
      <c r="CT75" s="965"/>
      <c r="CU75" s="965"/>
      <c r="CV75" s="965"/>
      <c r="CW75" s="965"/>
      <c r="CX75" s="965"/>
      <c r="CY75" s="965"/>
      <c r="CZ75" s="965"/>
      <c r="DA75" s="965"/>
      <c r="DB75" s="965"/>
      <c r="DC75" s="965"/>
      <c r="DD75" s="965"/>
      <c r="DE75" s="965"/>
      <c r="DF75" s="965"/>
      <c r="DG75" s="965"/>
      <c r="DH75" s="965"/>
      <c r="DI75" s="965"/>
      <c r="DJ75" s="965"/>
      <c r="DK75" s="965"/>
      <c r="DL75" s="965"/>
      <c r="DM75" s="965"/>
      <c r="DN75" s="965"/>
      <c r="DO75" s="965"/>
      <c r="DP75" s="965"/>
      <c r="DQ75" s="965"/>
      <c r="DR75" s="965"/>
      <c r="DS75" s="965"/>
      <c r="DT75" s="965"/>
      <c r="DU75" s="965"/>
      <c r="DV75" s="965"/>
      <c r="DW75" s="965"/>
      <c r="DX75" s="965"/>
      <c r="DY75" s="965"/>
      <c r="DZ75" s="965"/>
      <c r="EA75" s="965"/>
      <c r="EB75" s="965"/>
      <c r="EC75" s="965"/>
      <c r="ED75" s="965"/>
      <c r="EE75" s="965"/>
      <c r="EF75" s="965"/>
      <c r="EG75" s="965"/>
      <c r="EH75" s="965"/>
      <c r="EI75" s="965"/>
      <c r="EJ75" s="965"/>
      <c r="EK75" s="965"/>
      <c r="EL75" s="965"/>
      <c r="EM75" s="965"/>
      <c r="EN75" s="965"/>
      <c r="EO75" s="965"/>
      <c r="EP75" s="965"/>
      <c r="EQ75" s="965"/>
      <c r="ER75" s="965"/>
      <c r="ES75" s="965"/>
      <c r="ET75" s="965"/>
      <c r="EU75" s="965"/>
      <c r="EV75" s="965"/>
      <c r="EW75" s="965"/>
      <c r="EX75" s="965"/>
      <c r="EY75" s="965"/>
      <c r="EZ75" s="965"/>
      <c r="FA75" s="965"/>
      <c r="FB75" s="965"/>
      <c r="FC75" s="965"/>
      <c r="FD75" s="965"/>
      <c r="FE75" s="965"/>
      <c r="FF75" s="965"/>
      <c r="FG75" s="965"/>
      <c r="FH75" s="965"/>
      <c r="FI75" s="965"/>
      <c r="FJ75" s="965"/>
      <c r="FK75" s="965"/>
      <c r="FL75" s="965"/>
      <c r="FM75" s="965"/>
      <c r="FN75" s="965"/>
      <c r="FO75" s="965"/>
      <c r="FP75" s="965"/>
      <c r="FQ75" s="965"/>
      <c r="FR75" s="965"/>
      <c r="FS75" s="965"/>
      <c r="FT75" s="965"/>
      <c r="FU75" s="965"/>
      <c r="FV75" s="965"/>
      <c r="FW75" s="965"/>
      <c r="FX75" s="965"/>
      <c r="FY75" s="965"/>
      <c r="FZ75" s="965"/>
      <c r="GA75" s="965"/>
      <c r="GB75" s="965"/>
      <c r="GC75" s="965"/>
      <c r="GD75" s="965"/>
      <c r="GE75" s="965"/>
      <c r="GF75" s="965"/>
      <c r="GG75" s="965"/>
      <c r="GH75" s="965"/>
      <c r="GI75" s="965"/>
      <c r="GJ75" s="965"/>
      <c r="GK75" s="965"/>
      <c r="GL75" s="965"/>
      <c r="GM75" s="965"/>
      <c r="GN75" s="965"/>
      <c r="GO75" s="965"/>
      <c r="GP75" s="965"/>
      <c r="GQ75" s="965"/>
      <c r="GR75" s="965"/>
      <c r="GS75" s="965"/>
      <c r="GT75" s="965"/>
      <c r="GU75" s="965"/>
      <c r="GV75" s="965"/>
      <c r="GW75" s="965"/>
      <c r="GX75" s="965"/>
      <c r="GY75" s="965"/>
      <c r="GZ75" s="965"/>
      <c r="HA75" s="965"/>
      <c r="HB75" s="965"/>
      <c r="HC75" s="965"/>
      <c r="HD75" s="965"/>
      <c r="HE75" s="965"/>
      <c r="HF75" s="965"/>
      <c r="HG75" s="965"/>
      <c r="HH75" s="965"/>
      <c r="HI75" s="965"/>
      <c r="HJ75" s="965"/>
      <c r="HK75" s="965"/>
      <c r="HL75" s="965"/>
      <c r="HM75" s="965"/>
      <c r="HN75" s="965"/>
      <c r="HO75" s="965"/>
      <c r="HP75" s="965"/>
      <c r="HQ75" s="965"/>
      <c r="HR75" s="965"/>
      <c r="HS75" s="965"/>
      <c r="HT75" s="965"/>
      <c r="HU75" s="965"/>
      <c r="HV75" s="965"/>
      <c r="HW75" s="965"/>
      <c r="HX75" s="965"/>
      <c r="HY75" s="965"/>
      <c r="HZ75" s="965"/>
      <c r="IA75" s="965"/>
      <c r="IB75" s="965"/>
      <c r="IC75" s="965"/>
      <c r="ID75" s="965"/>
      <c r="IE75" s="965"/>
      <c r="IF75" s="965"/>
      <c r="IG75" s="965"/>
      <c r="IH75" s="965"/>
      <c r="II75" s="965"/>
      <c r="IJ75" s="965"/>
      <c r="IK75" s="965"/>
      <c r="IL75" s="965"/>
      <c r="IM75" s="965"/>
      <c r="IN75" s="965"/>
      <c r="IO75" s="965"/>
      <c r="IP75" s="965"/>
      <c r="IQ75" s="965"/>
      <c r="IR75" s="965"/>
      <c r="IS75" s="965"/>
      <c r="IT75" s="965"/>
      <c r="IU75" s="965"/>
      <c r="IV75" s="965"/>
      <c r="IW75" s="965"/>
    </row>
    <row r="76" customFormat="false" ht="12.75" hidden="false" customHeight="false" outlineLevel="0" collapsed="false">
      <c r="A76" s="964"/>
      <c r="B76" s="964"/>
      <c r="C76" s="964"/>
      <c r="D76" s="965"/>
      <c r="E76" s="965"/>
      <c r="F76" s="966"/>
      <c r="G76" s="965"/>
      <c r="H76" s="965"/>
      <c r="I76" s="965"/>
      <c r="J76" s="965"/>
      <c r="K76" s="965"/>
      <c r="L76" s="965"/>
      <c r="M76" s="965"/>
      <c r="N76" s="965"/>
      <c r="O76" s="965"/>
      <c r="P76" s="965"/>
      <c r="Q76" s="965"/>
      <c r="R76" s="965"/>
      <c r="S76" s="965"/>
      <c r="T76" s="965"/>
      <c r="U76" s="965"/>
      <c r="V76" s="965"/>
      <c r="W76" s="965"/>
      <c r="X76" s="965"/>
      <c r="Y76" s="965"/>
      <c r="Z76" s="965"/>
      <c r="AA76" s="965"/>
      <c r="AB76" s="965"/>
      <c r="AC76" s="965"/>
      <c r="AD76" s="965"/>
      <c r="AE76" s="965"/>
      <c r="AF76" s="965"/>
      <c r="AG76" s="965"/>
      <c r="AH76" s="965"/>
      <c r="AI76" s="965"/>
      <c r="AJ76" s="965"/>
      <c r="AK76" s="965"/>
      <c r="AL76" s="965"/>
      <c r="AM76" s="965"/>
      <c r="AN76" s="965"/>
      <c r="AO76" s="965"/>
      <c r="AP76" s="965"/>
      <c r="AQ76" s="965"/>
      <c r="AR76" s="965"/>
      <c r="AS76" s="965"/>
      <c r="AT76" s="965"/>
      <c r="AU76" s="965"/>
      <c r="AV76" s="965"/>
      <c r="AW76" s="965"/>
      <c r="AX76" s="965"/>
      <c r="AY76" s="965"/>
      <c r="AZ76" s="965"/>
      <c r="BA76" s="965"/>
      <c r="BB76" s="965"/>
      <c r="BC76" s="965"/>
      <c r="BD76" s="965"/>
      <c r="BE76" s="965"/>
      <c r="BF76" s="965"/>
      <c r="BG76" s="965"/>
      <c r="BH76" s="965"/>
      <c r="BI76" s="965"/>
      <c r="BJ76" s="965"/>
      <c r="BK76" s="965"/>
      <c r="BL76" s="965"/>
      <c r="BM76" s="965"/>
      <c r="BN76" s="965"/>
      <c r="BO76" s="965"/>
      <c r="BP76" s="965"/>
      <c r="BQ76" s="965"/>
      <c r="BR76" s="965"/>
      <c r="BS76" s="965"/>
      <c r="BT76" s="965"/>
      <c r="BU76" s="965"/>
      <c r="BV76" s="965"/>
      <c r="BW76" s="965"/>
      <c r="BX76" s="965"/>
      <c r="BY76" s="965"/>
      <c r="BZ76" s="965"/>
      <c r="CA76" s="965"/>
      <c r="CB76" s="965"/>
      <c r="CC76" s="965"/>
      <c r="CD76" s="965"/>
      <c r="CE76" s="965"/>
      <c r="CF76" s="965"/>
      <c r="CG76" s="965"/>
      <c r="CH76" s="965"/>
      <c r="CI76" s="965"/>
      <c r="CJ76" s="965"/>
      <c r="CK76" s="965"/>
      <c r="CL76" s="965"/>
      <c r="CM76" s="965"/>
      <c r="CN76" s="965"/>
      <c r="CO76" s="965"/>
      <c r="CP76" s="965"/>
      <c r="CQ76" s="965"/>
      <c r="CR76" s="965"/>
      <c r="CS76" s="965"/>
      <c r="CT76" s="965"/>
      <c r="CU76" s="965"/>
      <c r="CV76" s="965"/>
      <c r="CW76" s="965"/>
      <c r="CX76" s="965"/>
      <c r="CY76" s="965"/>
      <c r="CZ76" s="965"/>
      <c r="DA76" s="965"/>
      <c r="DB76" s="965"/>
      <c r="DC76" s="965"/>
      <c r="DD76" s="965"/>
      <c r="DE76" s="965"/>
      <c r="DF76" s="965"/>
      <c r="DG76" s="965"/>
      <c r="DH76" s="965"/>
      <c r="DI76" s="965"/>
      <c r="DJ76" s="965"/>
      <c r="DK76" s="965"/>
      <c r="DL76" s="965"/>
      <c r="DM76" s="965"/>
      <c r="DN76" s="965"/>
      <c r="DO76" s="965"/>
      <c r="DP76" s="965"/>
      <c r="DQ76" s="965"/>
      <c r="DR76" s="965"/>
      <c r="DS76" s="965"/>
      <c r="DT76" s="965"/>
      <c r="DU76" s="965"/>
      <c r="DV76" s="965"/>
      <c r="DW76" s="965"/>
      <c r="DX76" s="965"/>
      <c r="DY76" s="965"/>
      <c r="DZ76" s="965"/>
      <c r="EA76" s="965"/>
      <c r="EB76" s="965"/>
      <c r="EC76" s="965"/>
      <c r="ED76" s="965"/>
      <c r="EE76" s="965"/>
      <c r="EF76" s="965"/>
      <c r="EG76" s="965"/>
      <c r="EH76" s="965"/>
      <c r="EI76" s="965"/>
      <c r="EJ76" s="965"/>
      <c r="EK76" s="965"/>
      <c r="EL76" s="965"/>
      <c r="EM76" s="965"/>
      <c r="EN76" s="965"/>
      <c r="EO76" s="965"/>
      <c r="EP76" s="965"/>
      <c r="EQ76" s="965"/>
      <c r="ER76" s="965"/>
      <c r="ES76" s="965"/>
      <c r="ET76" s="965"/>
      <c r="EU76" s="965"/>
      <c r="EV76" s="965"/>
      <c r="EW76" s="965"/>
      <c r="EX76" s="965"/>
      <c r="EY76" s="965"/>
      <c r="EZ76" s="965"/>
      <c r="FA76" s="965"/>
      <c r="FB76" s="965"/>
      <c r="FC76" s="965"/>
      <c r="FD76" s="965"/>
      <c r="FE76" s="965"/>
      <c r="FF76" s="965"/>
      <c r="FG76" s="965"/>
      <c r="FH76" s="965"/>
      <c r="FI76" s="965"/>
      <c r="FJ76" s="965"/>
      <c r="FK76" s="965"/>
      <c r="FL76" s="965"/>
      <c r="FM76" s="965"/>
      <c r="FN76" s="965"/>
      <c r="FO76" s="965"/>
      <c r="FP76" s="965"/>
      <c r="FQ76" s="965"/>
      <c r="FR76" s="965"/>
      <c r="FS76" s="965"/>
      <c r="FT76" s="965"/>
      <c r="FU76" s="965"/>
      <c r="FV76" s="965"/>
      <c r="FW76" s="965"/>
      <c r="FX76" s="965"/>
      <c r="FY76" s="965"/>
      <c r="FZ76" s="965"/>
      <c r="GA76" s="965"/>
      <c r="GB76" s="965"/>
      <c r="GC76" s="965"/>
      <c r="GD76" s="965"/>
      <c r="GE76" s="965"/>
      <c r="GF76" s="965"/>
      <c r="GG76" s="965"/>
      <c r="GH76" s="965"/>
      <c r="GI76" s="965"/>
      <c r="GJ76" s="965"/>
      <c r="GK76" s="965"/>
      <c r="GL76" s="965"/>
      <c r="GM76" s="965"/>
      <c r="GN76" s="965"/>
      <c r="GO76" s="965"/>
      <c r="GP76" s="965"/>
      <c r="GQ76" s="965"/>
      <c r="GR76" s="965"/>
      <c r="GS76" s="965"/>
      <c r="GT76" s="965"/>
      <c r="GU76" s="965"/>
      <c r="GV76" s="965"/>
      <c r="GW76" s="965"/>
      <c r="GX76" s="965"/>
      <c r="GY76" s="965"/>
      <c r="GZ76" s="965"/>
      <c r="HA76" s="965"/>
      <c r="HB76" s="965"/>
      <c r="HC76" s="965"/>
      <c r="HD76" s="965"/>
      <c r="HE76" s="965"/>
      <c r="HF76" s="965"/>
      <c r="HG76" s="965"/>
      <c r="HH76" s="965"/>
      <c r="HI76" s="965"/>
      <c r="HJ76" s="965"/>
      <c r="HK76" s="965"/>
      <c r="HL76" s="965"/>
      <c r="HM76" s="965"/>
      <c r="HN76" s="965"/>
      <c r="HO76" s="965"/>
      <c r="HP76" s="965"/>
      <c r="HQ76" s="965"/>
      <c r="HR76" s="965"/>
      <c r="HS76" s="965"/>
      <c r="HT76" s="965"/>
      <c r="HU76" s="965"/>
      <c r="HV76" s="965"/>
      <c r="HW76" s="965"/>
      <c r="HX76" s="965"/>
      <c r="HY76" s="965"/>
      <c r="HZ76" s="965"/>
      <c r="IA76" s="965"/>
      <c r="IB76" s="965"/>
      <c r="IC76" s="965"/>
      <c r="ID76" s="965"/>
      <c r="IE76" s="965"/>
      <c r="IF76" s="965"/>
      <c r="IG76" s="965"/>
      <c r="IH76" s="965"/>
      <c r="II76" s="965"/>
      <c r="IJ76" s="965"/>
      <c r="IK76" s="965"/>
      <c r="IL76" s="965"/>
      <c r="IM76" s="965"/>
      <c r="IN76" s="965"/>
      <c r="IO76" s="965"/>
      <c r="IP76" s="965"/>
      <c r="IQ76" s="965"/>
      <c r="IR76" s="965"/>
      <c r="IS76" s="965"/>
      <c r="IT76" s="965"/>
      <c r="IU76" s="965"/>
      <c r="IV76" s="965"/>
      <c r="IW76" s="965"/>
    </row>
    <row r="77" customFormat="false" ht="12.75" hidden="false" customHeight="false" outlineLevel="0" collapsed="false">
      <c r="A77" s="967" t="s">
        <v>916</v>
      </c>
      <c r="B77" s="964"/>
      <c r="C77" s="964"/>
      <c r="D77" s="965"/>
      <c r="E77" s="965"/>
      <c r="F77" s="966"/>
      <c r="G77" s="965"/>
      <c r="H77" s="965"/>
      <c r="I77" s="965"/>
      <c r="J77" s="965"/>
      <c r="K77" s="965"/>
      <c r="L77" s="965"/>
      <c r="M77" s="965"/>
      <c r="N77" s="965"/>
      <c r="O77" s="965"/>
      <c r="P77" s="965"/>
      <c r="Q77" s="965"/>
      <c r="R77" s="965"/>
      <c r="S77" s="965"/>
      <c r="T77" s="965"/>
      <c r="U77" s="965"/>
      <c r="V77" s="965"/>
      <c r="W77" s="965"/>
      <c r="X77" s="965"/>
      <c r="Y77" s="965"/>
      <c r="Z77" s="965"/>
      <c r="AA77" s="965"/>
      <c r="AB77" s="965"/>
      <c r="AC77" s="965"/>
      <c r="AD77" s="965"/>
      <c r="AE77" s="965"/>
      <c r="AF77" s="965"/>
      <c r="AG77" s="965"/>
      <c r="AH77" s="965"/>
      <c r="AI77" s="965"/>
      <c r="AJ77" s="965"/>
      <c r="AK77" s="965"/>
      <c r="AL77" s="965"/>
      <c r="AM77" s="965"/>
      <c r="AN77" s="965"/>
      <c r="AO77" s="965"/>
      <c r="AP77" s="965"/>
      <c r="AQ77" s="965"/>
      <c r="AR77" s="965"/>
      <c r="AS77" s="965"/>
      <c r="AT77" s="965"/>
      <c r="AU77" s="965"/>
      <c r="AV77" s="965"/>
      <c r="AW77" s="965"/>
      <c r="AX77" s="965"/>
      <c r="AY77" s="965"/>
      <c r="AZ77" s="965"/>
      <c r="BA77" s="965"/>
      <c r="BB77" s="965"/>
      <c r="BC77" s="965"/>
      <c r="BD77" s="965"/>
      <c r="BE77" s="965"/>
      <c r="BF77" s="965"/>
      <c r="BG77" s="965"/>
      <c r="BH77" s="965"/>
      <c r="BI77" s="965"/>
      <c r="BJ77" s="965"/>
      <c r="BK77" s="965"/>
      <c r="BL77" s="965"/>
      <c r="BM77" s="965"/>
      <c r="BN77" s="965"/>
      <c r="BO77" s="965"/>
      <c r="BP77" s="965"/>
      <c r="BQ77" s="965"/>
      <c r="BR77" s="965"/>
      <c r="BS77" s="965"/>
      <c r="BT77" s="965"/>
      <c r="BU77" s="965"/>
      <c r="BV77" s="965"/>
      <c r="BW77" s="965"/>
      <c r="BX77" s="965"/>
      <c r="BY77" s="965"/>
      <c r="BZ77" s="965"/>
      <c r="CA77" s="965"/>
      <c r="CB77" s="965"/>
      <c r="CC77" s="965"/>
      <c r="CD77" s="965"/>
      <c r="CE77" s="965"/>
      <c r="CF77" s="965"/>
      <c r="CG77" s="965"/>
      <c r="CH77" s="965"/>
      <c r="CI77" s="965"/>
      <c r="CJ77" s="965"/>
      <c r="CK77" s="965"/>
      <c r="CL77" s="965"/>
      <c r="CM77" s="965"/>
      <c r="CN77" s="965"/>
      <c r="CO77" s="965"/>
      <c r="CP77" s="965"/>
      <c r="CQ77" s="965"/>
      <c r="CR77" s="965"/>
      <c r="CS77" s="965"/>
      <c r="CT77" s="965"/>
      <c r="CU77" s="965"/>
      <c r="CV77" s="965"/>
      <c r="CW77" s="965"/>
      <c r="CX77" s="965"/>
      <c r="CY77" s="965"/>
      <c r="CZ77" s="965"/>
      <c r="DA77" s="965"/>
      <c r="DB77" s="965"/>
      <c r="DC77" s="965"/>
      <c r="DD77" s="965"/>
      <c r="DE77" s="965"/>
      <c r="DF77" s="965"/>
      <c r="DG77" s="965"/>
      <c r="DH77" s="965"/>
      <c r="DI77" s="965"/>
      <c r="DJ77" s="965"/>
      <c r="DK77" s="965"/>
      <c r="DL77" s="965"/>
      <c r="DM77" s="965"/>
      <c r="DN77" s="965"/>
      <c r="DO77" s="965"/>
      <c r="DP77" s="965"/>
      <c r="DQ77" s="965"/>
      <c r="DR77" s="965"/>
      <c r="DS77" s="965"/>
      <c r="DT77" s="965"/>
      <c r="DU77" s="965"/>
      <c r="DV77" s="965"/>
      <c r="DW77" s="965"/>
      <c r="DX77" s="965"/>
      <c r="DY77" s="965"/>
      <c r="DZ77" s="965"/>
      <c r="EA77" s="965"/>
      <c r="EB77" s="965"/>
      <c r="EC77" s="965"/>
      <c r="ED77" s="965"/>
      <c r="EE77" s="965"/>
      <c r="EF77" s="965"/>
      <c r="EG77" s="965"/>
      <c r="EH77" s="965"/>
      <c r="EI77" s="965"/>
      <c r="EJ77" s="965"/>
      <c r="EK77" s="965"/>
      <c r="EL77" s="965"/>
      <c r="EM77" s="965"/>
      <c r="EN77" s="965"/>
      <c r="EO77" s="965"/>
      <c r="EP77" s="965"/>
      <c r="EQ77" s="965"/>
      <c r="ER77" s="965"/>
      <c r="ES77" s="965"/>
      <c r="ET77" s="965"/>
      <c r="EU77" s="965"/>
      <c r="EV77" s="965"/>
      <c r="EW77" s="965"/>
      <c r="EX77" s="965"/>
      <c r="EY77" s="965"/>
      <c r="EZ77" s="965"/>
      <c r="FA77" s="965"/>
      <c r="FB77" s="965"/>
      <c r="FC77" s="965"/>
      <c r="FD77" s="965"/>
      <c r="FE77" s="965"/>
      <c r="FF77" s="965"/>
      <c r="FG77" s="965"/>
      <c r="FH77" s="965"/>
      <c r="FI77" s="965"/>
      <c r="FJ77" s="965"/>
      <c r="FK77" s="965"/>
      <c r="FL77" s="965"/>
      <c r="FM77" s="965"/>
      <c r="FN77" s="965"/>
      <c r="FO77" s="965"/>
      <c r="FP77" s="965"/>
      <c r="FQ77" s="965"/>
      <c r="FR77" s="965"/>
      <c r="FS77" s="965"/>
      <c r="FT77" s="965"/>
      <c r="FU77" s="965"/>
      <c r="FV77" s="965"/>
      <c r="FW77" s="965"/>
      <c r="FX77" s="965"/>
      <c r="FY77" s="965"/>
      <c r="FZ77" s="965"/>
      <c r="GA77" s="965"/>
      <c r="GB77" s="965"/>
      <c r="GC77" s="965"/>
      <c r="GD77" s="965"/>
      <c r="GE77" s="965"/>
      <c r="GF77" s="965"/>
      <c r="GG77" s="965"/>
      <c r="GH77" s="965"/>
      <c r="GI77" s="965"/>
      <c r="GJ77" s="965"/>
      <c r="GK77" s="965"/>
      <c r="GL77" s="965"/>
      <c r="GM77" s="965"/>
      <c r="GN77" s="965"/>
      <c r="GO77" s="965"/>
      <c r="GP77" s="965"/>
      <c r="GQ77" s="965"/>
      <c r="GR77" s="965"/>
      <c r="GS77" s="965"/>
      <c r="GT77" s="965"/>
      <c r="GU77" s="965"/>
      <c r="GV77" s="965"/>
      <c r="GW77" s="965"/>
      <c r="GX77" s="965"/>
      <c r="GY77" s="965"/>
      <c r="GZ77" s="965"/>
      <c r="HA77" s="965"/>
      <c r="HB77" s="965"/>
      <c r="HC77" s="965"/>
      <c r="HD77" s="965"/>
      <c r="HE77" s="965"/>
      <c r="HF77" s="965"/>
      <c r="HG77" s="965"/>
      <c r="HH77" s="965"/>
      <c r="HI77" s="965"/>
      <c r="HJ77" s="965"/>
      <c r="HK77" s="965"/>
      <c r="HL77" s="965"/>
      <c r="HM77" s="965"/>
      <c r="HN77" s="965"/>
      <c r="HO77" s="965"/>
      <c r="HP77" s="965"/>
      <c r="HQ77" s="965"/>
      <c r="HR77" s="965"/>
      <c r="HS77" s="965"/>
      <c r="HT77" s="965"/>
      <c r="HU77" s="965"/>
      <c r="HV77" s="965"/>
      <c r="HW77" s="965"/>
      <c r="HX77" s="965"/>
      <c r="HY77" s="965"/>
      <c r="HZ77" s="965"/>
      <c r="IA77" s="965"/>
      <c r="IB77" s="965"/>
      <c r="IC77" s="965"/>
      <c r="ID77" s="965"/>
      <c r="IE77" s="965"/>
      <c r="IF77" s="965"/>
      <c r="IG77" s="965"/>
      <c r="IH77" s="965"/>
      <c r="II77" s="965"/>
      <c r="IJ77" s="965"/>
      <c r="IK77" s="965"/>
      <c r="IL77" s="965"/>
      <c r="IM77" s="965"/>
      <c r="IN77" s="965"/>
      <c r="IO77" s="965"/>
      <c r="IP77" s="965"/>
      <c r="IQ77" s="965"/>
      <c r="IR77" s="965"/>
      <c r="IS77" s="965"/>
      <c r="IT77" s="965"/>
      <c r="IU77" s="965"/>
      <c r="IV77" s="965"/>
      <c r="IW77" s="965"/>
    </row>
    <row r="78" customFormat="false" ht="12.75" hidden="false" customHeight="false" outlineLevel="0" collapsed="false">
      <c r="A78" s="964" t="s">
        <v>917</v>
      </c>
      <c r="B78" s="964"/>
      <c r="C78" s="964"/>
      <c r="D78" s="965"/>
      <c r="E78" s="965"/>
      <c r="F78" s="966" t="n">
        <f aca="false">AVERAGE(G78:AB78)</f>
        <v>0.452914290476721</v>
      </c>
      <c r="G78" s="965" t="n">
        <f aca="false">BS_IS!G38/BS_IS!G17</f>
        <v>0</v>
      </c>
      <c r="H78" s="965" t="n">
        <f aca="false">BS_IS!H38/BS_IS!H17</f>
        <v>0</v>
      </c>
      <c r="I78" s="965" t="n">
        <f aca="false">BS_IS!I38/BS_IS!I17</f>
        <v>0</v>
      </c>
      <c r="J78" s="965" t="n">
        <f aca="false">BS_IS!J38/BS_IS!J17</f>
        <v>0.0695441339286635</v>
      </c>
      <c r="K78" s="965" t="n">
        <f aca="false">BS_IS!K38/BS_IS!K17</f>
        <v>0.12924652777122</v>
      </c>
      <c r="L78" s="965" t="n">
        <f aca="false">BS_IS!L38/BS_IS!L17</f>
        <v>0.150254166339297</v>
      </c>
      <c r="M78" s="965" t="n">
        <f aca="false">BS_IS!M38/BS_IS!M17</f>
        <v>0.175306252405731</v>
      </c>
      <c r="N78" s="965" t="n">
        <f aca="false">BS_IS!N38/BS_IS!N17</f>
        <v>0.207826857198504</v>
      </c>
      <c r="O78" s="965" t="n">
        <f aca="false">BS_IS!O38/BS_IS!O17</f>
        <v>0.253450007648177</v>
      </c>
      <c r="P78" s="965" t="n">
        <f aca="false">BS_IS!P38/BS_IS!P17</f>
        <v>0.317651301506846</v>
      </c>
      <c r="Q78" s="965" t="n">
        <f aca="false">BS_IS!Q38/BS_IS!Q17</f>
        <v>0.387904681088923</v>
      </c>
      <c r="R78" s="965" t="n">
        <f aca="false">BS_IS!R38/BS_IS!R17</f>
        <v>0.453380259804658</v>
      </c>
      <c r="S78" s="965" t="n">
        <f aca="false">BS_IS!S38/BS_IS!S17</f>
        <v>0.533906612304408</v>
      </c>
      <c r="T78" s="965" t="n">
        <f aca="false">BS_IS!T38/BS_IS!T17</f>
        <v>0.650800297411846</v>
      </c>
      <c r="U78" s="965" t="n">
        <f aca="false">BS_IS!U38/BS_IS!U17</f>
        <v>0.836890334314535</v>
      </c>
      <c r="V78" s="965" t="n">
        <f aca="false">BS_IS!V38/BS_IS!V17</f>
        <v>0.956220180928419</v>
      </c>
      <c r="W78" s="965" t="n">
        <f aca="false">BS_IS!W38/BS_IS!W17</f>
        <v>1.03943129750928</v>
      </c>
      <c r="X78" s="965" t="n">
        <f aca="false">BS_IS!X38/BS_IS!X17</f>
        <v>0.988346292197142</v>
      </c>
      <c r="Y78" s="965" t="n">
        <f aca="false">BS_IS!Y38/BS_IS!Y17</f>
        <v>0.764672908609896</v>
      </c>
      <c r="Z78" s="965" t="n">
        <f aca="false">BS_IS!Z38/BS_IS!Z17</f>
        <v>0.707202634342816</v>
      </c>
      <c r="AA78" s="965" t="n">
        <f aca="false">BS_IS!AA38/BS_IS!AA17</f>
        <v>0.726211811391284</v>
      </c>
      <c r="AB78" s="965" t="n">
        <f aca="false">BS_IS!AB38/BS_IS!AB17</f>
        <v>0.615867833786208</v>
      </c>
      <c r="AC78" s="965"/>
      <c r="AD78" s="965"/>
      <c r="AE78" s="965"/>
      <c r="AF78" s="965"/>
      <c r="AG78" s="965"/>
      <c r="AH78" s="965"/>
      <c r="AI78" s="965"/>
      <c r="AJ78" s="965"/>
      <c r="AK78" s="965"/>
      <c r="AL78" s="965"/>
      <c r="AM78" s="965"/>
      <c r="AN78" s="965"/>
      <c r="AO78" s="965"/>
      <c r="AP78" s="965"/>
      <c r="AQ78" s="965"/>
      <c r="AR78" s="965"/>
      <c r="AS78" s="965"/>
      <c r="AT78" s="965"/>
      <c r="AU78" s="965"/>
      <c r="AV78" s="965"/>
      <c r="AW78" s="965"/>
      <c r="AX78" s="965"/>
      <c r="AY78" s="965"/>
      <c r="AZ78" s="965"/>
      <c r="BA78" s="965"/>
      <c r="BB78" s="965"/>
      <c r="BC78" s="965"/>
      <c r="BD78" s="965"/>
      <c r="BE78" s="965"/>
      <c r="BF78" s="965"/>
      <c r="BG78" s="965"/>
      <c r="BH78" s="965"/>
      <c r="BI78" s="965"/>
      <c r="BJ78" s="965"/>
      <c r="BK78" s="965"/>
      <c r="BL78" s="965"/>
      <c r="BM78" s="965"/>
      <c r="BN78" s="965"/>
      <c r="BO78" s="965"/>
      <c r="BP78" s="965"/>
      <c r="BQ78" s="965"/>
      <c r="BR78" s="965"/>
      <c r="BS78" s="965"/>
      <c r="BT78" s="965"/>
      <c r="BU78" s="965"/>
      <c r="BV78" s="965"/>
      <c r="BW78" s="965"/>
      <c r="BX78" s="965"/>
      <c r="BY78" s="965"/>
      <c r="BZ78" s="965"/>
      <c r="CA78" s="965"/>
      <c r="CB78" s="965"/>
      <c r="CC78" s="965"/>
      <c r="CD78" s="965"/>
      <c r="CE78" s="965"/>
      <c r="CF78" s="965"/>
      <c r="CG78" s="965"/>
      <c r="CH78" s="965"/>
      <c r="CI78" s="965"/>
      <c r="CJ78" s="965"/>
      <c r="CK78" s="965"/>
      <c r="CL78" s="965"/>
      <c r="CM78" s="965"/>
      <c r="CN78" s="965"/>
      <c r="CO78" s="965"/>
      <c r="CP78" s="965"/>
      <c r="CQ78" s="965"/>
      <c r="CR78" s="965"/>
      <c r="CS78" s="965"/>
      <c r="CT78" s="965"/>
      <c r="CU78" s="965"/>
      <c r="CV78" s="965"/>
      <c r="CW78" s="965"/>
      <c r="CX78" s="965"/>
      <c r="CY78" s="965"/>
      <c r="CZ78" s="965"/>
      <c r="DA78" s="965"/>
      <c r="DB78" s="965"/>
      <c r="DC78" s="965"/>
      <c r="DD78" s="965"/>
      <c r="DE78" s="965"/>
      <c r="DF78" s="965"/>
      <c r="DG78" s="965"/>
      <c r="DH78" s="965"/>
      <c r="DI78" s="965"/>
      <c r="DJ78" s="965"/>
      <c r="DK78" s="965"/>
      <c r="DL78" s="965"/>
      <c r="DM78" s="965"/>
      <c r="DN78" s="965"/>
      <c r="DO78" s="965"/>
      <c r="DP78" s="965"/>
      <c r="DQ78" s="965"/>
      <c r="DR78" s="965"/>
      <c r="DS78" s="965"/>
      <c r="DT78" s="965"/>
      <c r="DU78" s="965"/>
      <c r="DV78" s="965"/>
      <c r="DW78" s="965"/>
      <c r="DX78" s="965"/>
      <c r="DY78" s="965"/>
      <c r="DZ78" s="965"/>
      <c r="EA78" s="965"/>
      <c r="EB78" s="965"/>
      <c r="EC78" s="965"/>
      <c r="ED78" s="965"/>
      <c r="EE78" s="965"/>
      <c r="EF78" s="965"/>
      <c r="EG78" s="965"/>
      <c r="EH78" s="965"/>
      <c r="EI78" s="965"/>
      <c r="EJ78" s="965"/>
      <c r="EK78" s="965"/>
      <c r="EL78" s="965"/>
      <c r="EM78" s="965"/>
      <c r="EN78" s="965"/>
      <c r="EO78" s="965"/>
      <c r="EP78" s="965"/>
      <c r="EQ78" s="965"/>
      <c r="ER78" s="965"/>
      <c r="ES78" s="965"/>
      <c r="ET78" s="965"/>
      <c r="EU78" s="965"/>
      <c r="EV78" s="965"/>
      <c r="EW78" s="965"/>
      <c r="EX78" s="965"/>
      <c r="EY78" s="965"/>
      <c r="EZ78" s="965"/>
      <c r="FA78" s="965"/>
      <c r="FB78" s="965"/>
      <c r="FC78" s="965"/>
      <c r="FD78" s="965"/>
      <c r="FE78" s="965"/>
      <c r="FF78" s="965"/>
      <c r="FG78" s="965"/>
      <c r="FH78" s="965"/>
      <c r="FI78" s="965"/>
      <c r="FJ78" s="965"/>
      <c r="FK78" s="965"/>
      <c r="FL78" s="965"/>
      <c r="FM78" s="965"/>
      <c r="FN78" s="965"/>
      <c r="FO78" s="965"/>
      <c r="FP78" s="965"/>
      <c r="FQ78" s="965"/>
      <c r="FR78" s="965"/>
      <c r="FS78" s="965"/>
      <c r="FT78" s="965"/>
      <c r="FU78" s="965"/>
      <c r="FV78" s="965"/>
      <c r="FW78" s="965"/>
      <c r="FX78" s="965"/>
      <c r="FY78" s="965"/>
      <c r="FZ78" s="965"/>
      <c r="GA78" s="965"/>
      <c r="GB78" s="965"/>
      <c r="GC78" s="965"/>
      <c r="GD78" s="965"/>
      <c r="GE78" s="965"/>
      <c r="GF78" s="965"/>
      <c r="GG78" s="965"/>
      <c r="GH78" s="965"/>
      <c r="GI78" s="965"/>
      <c r="GJ78" s="965"/>
      <c r="GK78" s="965"/>
      <c r="GL78" s="965"/>
      <c r="GM78" s="965"/>
      <c r="GN78" s="965"/>
      <c r="GO78" s="965"/>
      <c r="GP78" s="965"/>
      <c r="GQ78" s="965"/>
      <c r="GR78" s="965"/>
      <c r="GS78" s="965"/>
      <c r="GT78" s="965"/>
      <c r="GU78" s="965"/>
      <c r="GV78" s="965"/>
      <c r="GW78" s="965"/>
      <c r="GX78" s="965"/>
      <c r="GY78" s="965"/>
      <c r="GZ78" s="965"/>
      <c r="HA78" s="965"/>
      <c r="HB78" s="965"/>
      <c r="HC78" s="965"/>
      <c r="HD78" s="965"/>
      <c r="HE78" s="965"/>
      <c r="HF78" s="965"/>
      <c r="HG78" s="965"/>
      <c r="HH78" s="965"/>
      <c r="HI78" s="965"/>
      <c r="HJ78" s="965"/>
      <c r="HK78" s="965"/>
      <c r="HL78" s="965"/>
      <c r="HM78" s="965"/>
      <c r="HN78" s="965"/>
      <c r="HO78" s="965"/>
      <c r="HP78" s="965"/>
      <c r="HQ78" s="965"/>
      <c r="HR78" s="965"/>
      <c r="HS78" s="965"/>
      <c r="HT78" s="965"/>
      <c r="HU78" s="965"/>
      <c r="HV78" s="965"/>
      <c r="HW78" s="965"/>
      <c r="HX78" s="965"/>
      <c r="HY78" s="965"/>
      <c r="HZ78" s="965"/>
      <c r="IA78" s="965"/>
      <c r="IB78" s="965"/>
      <c r="IC78" s="965"/>
      <c r="ID78" s="965"/>
      <c r="IE78" s="965"/>
      <c r="IF78" s="965"/>
      <c r="IG78" s="965"/>
      <c r="IH78" s="965"/>
      <c r="II78" s="965"/>
      <c r="IJ78" s="965"/>
      <c r="IK78" s="965"/>
      <c r="IL78" s="965"/>
      <c r="IM78" s="965"/>
      <c r="IN78" s="965"/>
      <c r="IO78" s="965"/>
      <c r="IP78" s="965"/>
      <c r="IQ78" s="965"/>
      <c r="IR78" s="965"/>
      <c r="IS78" s="965"/>
      <c r="IT78" s="965"/>
      <c r="IU78" s="965"/>
      <c r="IV78" s="965"/>
      <c r="IW78" s="965"/>
    </row>
    <row r="79" customFormat="false" ht="12.75" hidden="false" customHeight="false" outlineLevel="0" collapsed="false">
      <c r="A79" s="964" t="s">
        <v>918</v>
      </c>
      <c r="B79" s="964"/>
      <c r="C79" s="964"/>
      <c r="D79" s="965"/>
      <c r="E79" s="965"/>
      <c r="F79" s="966" t="e">
        <f aca="false">AVERAGE(G79:AB79)</f>
        <v>#DIV/0!</v>
      </c>
      <c r="G79" s="968" t="s">
        <v>919</v>
      </c>
      <c r="H79" s="968" t="s">
        <v>919</v>
      </c>
      <c r="I79" s="968" t="s">
        <v>919</v>
      </c>
      <c r="J79" s="968" t="s">
        <v>919</v>
      </c>
      <c r="K79" s="968" t="s">
        <v>919</v>
      </c>
      <c r="L79" s="968" t="s">
        <v>919</v>
      </c>
      <c r="M79" s="968" t="s">
        <v>919</v>
      </c>
      <c r="N79" s="968" t="s">
        <v>919</v>
      </c>
      <c r="O79" s="968" t="s">
        <v>919</v>
      </c>
      <c r="P79" s="968" t="s">
        <v>919</v>
      </c>
      <c r="Q79" s="968" t="s">
        <v>919</v>
      </c>
      <c r="R79" s="968" t="s">
        <v>919</v>
      </c>
      <c r="S79" s="968" t="s">
        <v>919</v>
      </c>
      <c r="T79" s="968" t="s">
        <v>919</v>
      </c>
      <c r="U79" s="968" t="s">
        <v>919</v>
      </c>
      <c r="V79" s="968" t="s">
        <v>919</v>
      </c>
      <c r="W79" s="968" t="s">
        <v>919</v>
      </c>
      <c r="X79" s="968" t="s">
        <v>919</v>
      </c>
      <c r="Y79" s="968" t="s">
        <v>919</v>
      </c>
      <c r="Z79" s="968" t="s">
        <v>919</v>
      </c>
      <c r="AA79" s="968" t="s">
        <v>919</v>
      </c>
      <c r="AB79" s="968" t="s">
        <v>919</v>
      </c>
      <c r="AC79" s="965"/>
      <c r="AD79" s="965"/>
      <c r="AE79" s="965"/>
      <c r="AF79" s="965"/>
      <c r="AG79" s="965"/>
      <c r="AH79" s="965"/>
      <c r="AI79" s="965"/>
      <c r="AJ79" s="965"/>
      <c r="AK79" s="965"/>
      <c r="AL79" s="965"/>
      <c r="AM79" s="965"/>
      <c r="AN79" s="965"/>
      <c r="AO79" s="965"/>
      <c r="AP79" s="965"/>
      <c r="AQ79" s="965"/>
      <c r="AR79" s="965"/>
      <c r="AS79" s="965"/>
      <c r="AT79" s="965"/>
      <c r="AU79" s="965"/>
      <c r="AV79" s="965"/>
      <c r="AW79" s="965"/>
      <c r="AX79" s="965"/>
      <c r="AY79" s="965"/>
      <c r="AZ79" s="965"/>
      <c r="BA79" s="965"/>
      <c r="BB79" s="965"/>
      <c r="BC79" s="965"/>
      <c r="BD79" s="965"/>
      <c r="BE79" s="965"/>
      <c r="BF79" s="965"/>
      <c r="BG79" s="965"/>
      <c r="BH79" s="965"/>
      <c r="BI79" s="965"/>
      <c r="BJ79" s="965"/>
      <c r="BK79" s="965"/>
      <c r="BL79" s="965"/>
      <c r="BM79" s="965"/>
      <c r="BN79" s="965"/>
      <c r="BO79" s="965"/>
      <c r="BP79" s="965"/>
      <c r="BQ79" s="965"/>
      <c r="BR79" s="965"/>
      <c r="BS79" s="965"/>
      <c r="BT79" s="965"/>
      <c r="BU79" s="965"/>
      <c r="BV79" s="965"/>
      <c r="BW79" s="965"/>
      <c r="BX79" s="965"/>
      <c r="BY79" s="965"/>
      <c r="BZ79" s="965"/>
      <c r="CA79" s="965"/>
      <c r="CB79" s="965"/>
      <c r="CC79" s="965"/>
      <c r="CD79" s="965"/>
      <c r="CE79" s="965"/>
      <c r="CF79" s="965"/>
      <c r="CG79" s="965"/>
      <c r="CH79" s="965"/>
      <c r="CI79" s="965"/>
      <c r="CJ79" s="965"/>
      <c r="CK79" s="965"/>
      <c r="CL79" s="965"/>
      <c r="CM79" s="965"/>
      <c r="CN79" s="965"/>
      <c r="CO79" s="965"/>
      <c r="CP79" s="965"/>
      <c r="CQ79" s="965"/>
      <c r="CR79" s="965"/>
      <c r="CS79" s="965"/>
      <c r="CT79" s="965"/>
      <c r="CU79" s="965"/>
      <c r="CV79" s="965"/>
      <c r="CW79" s="965"/>
      <c r="CX79" s="965"/>
      <c r="CY79" s="965"/>
      <c r="CZ79" s="965"/>
      <c r="DA79" s="965"/>
      <c r="DB79" s="965"/>
      <c r="DC79" s="965"/>
      <c r="DD79" s="965"/>
      <c r="DE79" s="965"/>
      <c r="DF79" s="965"/>
      <c r="DG79" s="965"/>
      <c r="DH79" s="965"/>
      <c r="DI79" s="965"/>
      <c r="DJ79" s="965"/>
      <c r="DK79" s="965"/>
      <c r="DL79" s="965"/>
      <c r="DM79" s="965"/>
      <c r="DN79" s="965"/>
      <c r="DO79" s="965"/>
      <c r="DP79" s="965"/>
      <c r="DQ79" s="965"/>
      <c r="DR79" s="965"/>
      <c r="DS79" s="965"/>
      <c r="DT79" s="965"/>
      <c r="DU79" s="965"/>
      <c r="DV79" s="965"/>
      <c r="DW79" s="965"/>
      <c r="DX79" s="965"/>
      <c r="DY79" s="965"/>
      <c r="DZ79" s="965"/>
      <c r="EA79" s="965"/>
      <c r="EB79" s="965"/>
      <c r="EC79" s="965"/>
      <c r="ED79" s="965"/>
      <c r="EE79" s="965"/>
      <c r="EF79" s="965"/>
      <c r="EG79" s="965"/>
      <c r="EH79" s="965"/>
      <c r="EI79" s="965"/>
      <c r="EJ79" s="965"/>
      <c r="EK79" s="965"/>
      <c r="EL79" s="965"/>
      <c r="EM79" s="965"/>
      <c r="EN79" s="965"/>
      <c r="EO79" s="965"/>
      <c r="EP79" s="965"/>
      <c r="EQ79" s="965"/>
      <c r="ER79" s="965"/>
      <c r="ES79" s="965"/>
      <c r="ET79" s="965"/>
      <c r="EU79" s="965"/>
      <c r="EV79" s="965"/>
      <c r="EW79" s="965"/>
      <c r="EX79" s="965"/>
      <c r="EY79" s="965"/>
      <c r="EZ79" s="965"/>
      <c r="FA79" s="965"/>
      <c r="FB79" s="965"/>
      <c r="FC79" s="965"/>
      <c r="FD79" s="965"/>
      <c r="FE79" s="965"/>
      <c r="FF79" s="965"/>
      <c r="FG79" s="965"/>
      <c r="FH79" s="965"/>
      <c r="FI79" s="965"/>
      <c r="FJ79" s="965"/>
      <c r="FK79" s="965"/>
      <c r="FL79" s="965"/>
      <c r="FM79" s="965"/>
      <c r="FN79" s="965"/>
      <c r="FO79" s="965"/>
      <c r="FP79" s="965"/>
      <c r="FQ79" s="965"/>
      <c r="FR79" s="965"/>
      <c r="FS79" s="965"/>
      <c r="FT79" s="965"/>
      <c r="FU79" s="965"/>
      <c r="FV79" s="965"/>
      <c r="FW79" s="965"/>
      <c r="FX79" s="965"/>
      <c r="FY79" s="965"/>
      <c r="FZ79" s="965"/>
      <c r="GA79" s="965"/>
      <c r="GB79" s="965"/>
      <c r="GC79" s="965"/>
      <c r="GD79" s="965"/>
      <c r="GE79" s="965"/>
      <c r="GF79" s="965"/>
      <c r="GG79" s="965"/>
      <c r="GH79" s="965"/>
      <c r="GI79" s="965"/>
      <c r="GJ79" s="965"/>
      <c r="GK79" s="965"/>
      <c r="GL79" s="965"/>
      <c r="GM79" s="965"/>
      <c r="GN79" s="965"/>
      <c r="GO79" s="965"/>
      <c r="GP79" s="965"/>
      <c r="GQ79" s="965"/>
      <c r="GR79" s="965"/>
      <c r="GS79" s="965"/>
      <c r="GT79" s="965"/>
      <c r="GU79" s="965"/>
      <c r="GV79" s="965"/>
      <c r="GW79" s="965"/>
      <c r="GX79" s="965"/>
      <c r="GY79" s="965"/>
      <c r="GZ79" s="965"/>
      <c r="HA79" s="965"/>
      <c r="HB79" s="965"/>
      <c r="HC79" s="965"/>
      <c r="HD79" s="965"/>
      <c r="HE79" s="965"/>
      <c r="HF79" s="965"/>
      <c r="HG79" s="965"/>
      <c r="HH79" s="965"/>
      <c r="HI79" s="965"/>
      <c r="HJ79" s="965"/>
      <c r="HK79" s="965"/>
      <c r="HL79" s="965"/>
      <c r="HM79" s="965"/>
      <c r="HN79" s="965"/>
      <c r="HO79" s="965"/>
      <c r="HP79" s="965"/>
      <c r="HQ79" s="965"/>
      <c r="HR79" s="965"/>
      <c r="HS79" s="965"/>
      <c r="HT79" s="965"/>
      <c r="HU79" s="965"/>
      <c r="HV79" s="965"/>
      <c r="HW79" s="965"/>
      <c r="HX79" s="965"/>
      <c r="HY79" s="965"/>
      <c r="HZ79" s="965"/>
      <c r="IA79" s="965"/>
      <c r="IB79" s="965"/>
      <c r="IC79" s="965"/>
      <c r="ID79" s="965"/>
      <c r="IE79" s="965"/>
      <c r="IF79" s="965"/>
      <c r="IG79" s="965"/>
      <c r="IH79" s="965"/>
      <c r="II79" s="965"/>
      <c r="IJ79" s="965"/>
      <c r="IK79" s="965"/>
      <c r="IL79" s="965"/>
      <c r="IM79" s="965"/>
      <c r="IN79" s="965"/>
      <c r="IO79" s="965"/>
      <c r="IP79" s="965"/>
      <c r="IQ79" s="965"/>
      <c r="IR79" s="965"/>
      <c r="IS79" s="965"/>
      <c r="IT79" s="965"/>
      <c r="IU79" s="965"/>
      <c r="IV79" s="965"/>
      <c r="IW79" s="965"/>
    </row>
    <row r="80" customFormat="false" ht="12.75" hidden="false" customHeight="false" outlineLevel="0" collapsed="false">
      <c r="A80" s="964" t="s">
        <v>920</v>
      </c>
      <c r="B80" s="964"/>
      <c r="C80" s="964"/>
      <c r="D80" s="965"/>
      <c r="E80" s="965"/>
      <c r="F80" s="966" t="n">
        <f aca="false">AVERAGE(G80:AB80)</f>
        <v>0.365595432078361</v>
      </c>
      <c r="G80" s="965" t="n">
        <f aca="false">BS_IS!G38/BS_IS!G15</f>
        <v>0</v>
      </c>
      <c r="H80" s="965" t="n">
        <f aca="false">BS_IS!H38/BS_IS!H15</f>
        <v>0</v>
      </c>
      <c r="I80" s="965" t="n">
        <f aca="false">BS_IS!I38/BS_IS!I15</f>
        <v>0</v>
      </c>
      <c r="J80" s="965" t="n">
        <f aca="false">BS_IS!J38/BS_IS!J15</f>
        <v>0.0698674493879679</v>
      </c>
      <c r="K80" s="965" t="n">
        <f aca="false">BS_IS!K38/BS_IS!K15</f>
        <v>0.124147439355834</v>
      </c>
      <c r="L80" s="965" t="n">
        <f aca="false">BS_IS!L38/BS_IS!L15</f>
        <v>0.135411721576466</v>
      </c>
      <c r="M80" s="965" t="n">
        <f aca="false">BS_IS!M38/BS_IS!M15</f>
        <v>0.148427043875352</v>
      </c>
      <c r="N80" s="965" t="n">
        <f aca="false">BS_IS!N38/BS_IS!N15</f>
        <v>0.162328030706293</v>
      </c>
      <c r="O80" s="965" t="n">
        <f aca="false">BS_IS!O38/BS_IS!O15</f>
        <v>0.178683368297536</v>
      </c>
      <c r="P80" s="965" t="n">
        <f aca="false">BS_IS!P38/BS_IS!P15</f>
        <v>0.197551972878088</v>
      </c>
      <c r="Q80" s="965" t="n">
        <f aca="false">BS_IS!Q38/BS_IS!Q15</f>
        <v>0.220140360387656</v>
      </c>
      <c r="R80" s="965" t="n">
        <f aca="false">BS_IS!R38/BS_IS!R15</f>
        <v>0.245532173890587</v>
      </c>
      <c r="S80" s="965" t="n">
        <f aca="false">BS_IS!S38/BS_IS!S15</f>
        <v>0.276689149973058</v>
      </c>
      <c r="T80" s="965" t="n">
        <f aca="false">BS_IS!T38/BS_IS!T15</f>
        <v>0.31472762582007</v>
      </c>
      <c r="U80" s="965" t="n">
        <f aca="false">BS_IS!U38/BS_IS!U15</f>
        <v>0.36317914234774</v>
      </c>
      <c r="V80" s="965" t="n">
        <f aca="false">BS_IS!V38/BS_IS!V15</f>
        <v>0.423120240824159</v>
      </c>
      <c r="W80" s="965" t="n">
        <f aca="false">BS_IS!W38/BS_IS!W15</f>
        <v>0.504134743691366</v>
      </c>
      <c r="X80" s="965" t="n">
        <f aca="false">BS_IS!X38/BS_IS!X15</f>
        <v>0.61706551326386</v>
      </c>
      <c r="Y80" s="965" t="n">
        <f aca="false">BS_IS!Y38/BS_IS!Y15</f>
        <v>0.787119945272909</v>
      </c>
      <c r="Z80" s="965" t="n">
        <f aca="false">BS_IS!Z38/BS_IS!Z15</f>
        <v>1.06018912831046</v>
      </c>
      <c r="AA80" s="965" t="n">
        <f aca="false">BS_IS!AA38/BS_IS!AA15</f>
        <v>1.59115699910556</v>
      </c>
      <c r="AB80" s="965" t="n">
        <f aca="false">BS_IS!AB38/BS_IS!AB15</f>
        <v>0.623627456758975</v>
      </c>
      <c r="AC80" s="965"/>
      <c r="AD80" s="965"/>
      <c r="AE80" s="965"/>
      <c r="AF80" s="965"/>
      <c r="AG80" s="965"/>
      <c r="AH80" s="965"/>
      <c r="AI80" s="965"/>
      <c r="AJ80" s="965"/>
      <c r="AK80" s="965"/>
      <c r="AL80" s="965"/>
      <c r="AM80" s="965"/>
      <c r="AN80" s="965"/>
      <c r="AO80" s="965"/>
      <c r="AP80" s="965"/>
      <c r="AQ80" s="965"/>
      <c r="AR80" s="965"/>
      <c r="AS80" s="965"/>
      <c r="AT80" s="965"/>
      <c r="AU80" s="965"/>
      <c r="AV80" s="965"/>
      <c r="AW80" s="965"/>
      <c r="AX80" s="965"/>
      <c r="AY80" s="965"/>
      <c r="AZ80" s="965"/>
      <c r="BA80" s="965"/>
      <c r="BB80" s="965"/>
      <c r="BC80" s="965"/>
      <c r="BD80" s="965"/>
      <c r="BE80" s="965"/>
      <c r="BF80" s="965"/>
      <c r="BG80" s="965"/>
      <c r="BH80" s="965"/>
      <c r="BI80" s="965"/>
      <c r="BJ80" s="965"/>
      <c r="BK80" s="965"/>
      <c r="BL80" s="965"/>
      <c r="BM80" s="965"/>
      <c r="BN80" s="965"/>
      <c r="BO80" s="965"/>
      <c r="BP80" s="965"/>
      <c r="BQ80" s="965"/>
      <c r="BR80" s="965"/>
      <c r="BS80" s="965"/>
      <c r="BT80" s="965"/>
      <c r="BU80" s="965"/>
      <c r="BV80" s="965"/>
      <c r="BW80" s="965"/>
      <c r="BX80" s="965"/>
      <c r="BY80" s="965"/>
      <c r="BZ80" s="965"/>
      <c r="CA80" s="965"/>
      <c r="CB80" s="965"/>
      <c r="CC80" s="965"/>
      <c r="CD80" s="965"/>
      <c r="CE80" s="965"/>
      <c r="CF80" s="965"/>
      <c r="CG80" s="965"/>
      <c r="CH80" s="965"/>
      <c r="CI80" s="965"/>
      <c r="CJ80" s="965"/>
      <c r="CK80" s="965"/>
      <c r="CL80" s="965"/>
      <c r="CM80" s="965"/>
      <c r="CN80" s="965"/>
      <c r="CO80" s="965"/>
      <c r="CP80" s="965"/>
      <c r="CQ80" s="965"/>
      <c r="CR80" s="965"/>
      <c r="CS80" s="965"/>
      <c r="CT80" s="965"/>
      <c r="CU80" s="965"/>
      <c r="CV80" s="965"/>
      <c r="CW80" s="965"/>
      <c r="CX80" s="965"/>
      <c r="CY80" s="965"/>
      <c r="CZ80" s="965"/>
      <c r="DA80" s="965"/>
      <c r="DB80" s="965"/>
      <c r="DC80" s="965"/>
      <c r="DD80" s="965"/>
      <c r="DE80" s="965"/>
      <c r="DF80" s="965"/>
      <c r="DG80" s="965"/>
      <c r="DH80" s="965"/>
      <c r="DI80" s="965"/>
      <c r="DJ80" s="965"/>
      <c r="DK80" s="965"/>
      <c r="DL80" s="965"/>
      <c r="DM80" s="965"/>
      <c r="DN80" s="965"/>
      <c r="DO80" s="965"/>
      <c r="DP80" s="965"/>
      <c r="DQ80" s="965"/>
      <c r="DR80" s="965"/>
      <c r="DS80" s="965"/>
      <c r="DT80" s="965"/>
      <c r="DU80" s="965"/>
      <c r="DV80" s="965"/>
      <c r="DW80" s="965"/>
      <c r="DX80" s="965"/>
      <c r="DY80" s="965"/>
      <c r="DZ80" s="965"/>
      <c r="EA80" s="965"/>
      <c r="EB80" s="965"/>
      <c r="EC80" s="965"/>
      <c r="ED80" s="965"/>
      <c r="EE80" s="965"/>
      <c r="EF80" s="965"/>
      <c r="EG80" s="965"/>
      <c r="EH80" s="965"/>
      <c r="EI80" s="965"/>
      <c r="EJ80" s="965"/>
      <c r="EK80" s="965"/>
      <c r="EL80" s="965"/>
      <c r="EM80" s="965"/>
      <c r="EN80" s="965"/>
      <c r="EO80" s="965"/>
      <c r="EP80" s="965"/>
      <c r="EQ80" s="965"/>
      <c r="ER80" s="965"/>
      <c r="ES80" s="965"/>
      <c r="ET80" s="965"/>
      <c r="EU80" s="965"/>
      <c r="EV80" s="965"/>
      <c r="EW80" s="965"/>
      <c r="EX80" s="965"/>
      <c r="EY80" s="965"/>
      <c r="EZ80" s="965"/>
      <c r="FA80" s="965"/>
      <c r="FB80" s="965"/>
      <c r="FC80" s="965"/>
      <c r="FD80" s="965"/>
      <c r="FE80" s="965"/>
      <c r="FF80" s="965"/>
      <c r="FG80" s="965"/>
      <c r="FH80" s="965"/>
      <c r="FI80" s="965"/>
      <c r="FJ80" s="965"/>
      <c r="FK80" s="965"/>
      <c r="FL80" s="965"/>
      <c r="FM80" s="965"/>
      <c r="FN80" s="965"/>
      <c r="FO80" s="965"/>
      <c r="FP80" s="965"/>
      <c r="FQ80" s="965"/>
      <c r="FR80" s="965"/>
      <c r="FS80" s="965"/>
      <c r="FT80" s="965"/>
      <c r="FU80" s="965"/>
      <c r="FV80" s="965"/>
      <c r="FW80" s="965"/>
      <c r="FX80" s="965"/>
      <c r="FY80" s="965"/>
      <c r="FZ80" s="965"/>
      <c r="GA80" s="965"/>
      <c r="GB80" s="965"/>
      <c r="GC80" s="965"/>
      <c r="GD80" s="965"/>
      <c r="GE80" s="965"/>
      <c r="GF80" s="965"/>
      <c r="GG80" s="965"/>
      <c r="GH80" s="965"/>
      <c r="GI80" s="965"/>
      <c r="GJ80" s="965"/>
      <c r="GK80" s="965"/>
      <c r="GL80" s="965"/>
      <c r="GM80" s="965"/>
      <c r="GN80" s="965"/>
      <c r="GO80" s="965"/>
      <c r="GP80" s="965"/>
      <c r="GQ80" s="965"/>
      <c r="GR80" s="965"/>
      <c r="GS80" s="965"/>
      <c r="GT80" s="965"/>
      <c r="GU80" s="965"/>
      <c r="GV80" s="965"/>
      <c r="GW80" s="965"/>
      <c r="GX80" s="965"/>
      <c r="GY80" s="965"/>
      <c r="GZ80" s="965"/>
      <c r="HA80" s="965"/>
      <c r="HB80" s="965"/>
      <c r="HC80" s="965"/>
      <c r="HD80" s="965"/>
      <c r="HE80" s="965"/>
      <c r="HF80" s="965"/>
      <c r="HG80" s="965"/>
      <c r="HH80" s="965"/>
      <c r="HI80" s="965"/>
      <c r="HJ80" s="965"/>
      <c r="HK80" s="965"/>
      <c r="HL80" s="965"/>
      <c r="HM80" s="965"/>
      <c r="HN80" s="965"/>
      <c r="HO80" s="965"/>
      <c r="HP80" s="965"/>
      <c r="HQ80" s="965"/>
      <c r="HR80" s="965"/>
      <c r="HS80" s="965"/>
      <c r="HT80" s="965"/>
      <c r="HU80" s="965"/>
      <c r="HV80" s="965"/>
      <c r="HW80" s="965"/>
      <c r="HX80" s="965"/>
      <c r="HY80" s="965"/>
      <c r="HZ80" s="965"/>
      <c r="IA80" s="965"/>
      <c r="IB80" s="965"/>
      <c r="IC80" s="965"/>
      <c r="ID80" s="965"/>
      <c r="IE80" s="965"/>
      <c r="IF80" s="965"/>
      <c r="IG80" s="965"/>
      <c r="IH80" s="965"/>
      <c r="II80" s="965"/>
      <c r="IJ80" s="965"/>
      <c r="IK80" s="965"/>
      <c r="IL80" s="965"/>
      <c r="IM80" s="965"/>
      <c r="IN80" s="965"/>
      <c r="IO80" s="965"/>
      <c r="IP80" s="965"/>
      <c r="IQ80" s="965"/>
      <c r="IR80" s="965"/>
      <c r="IS80" s="965"/>
      <c r="IT80" s="965"/>
      <c r="IU80" s="965"/>
      <c r="IV80" s="965"/>
      <c r="IW80" s="965"/>
    </row>
    <row r="81" customFormat="false" ht="12.75" hidden="false" customHeight="false" outlineLevel="0" collapsed="false">
      <c r="A81" s="964"/>
      <c r="B81" s="964"/>
      <c r="C81" s="964"/>
      <c r="D81" s="965"/>
      <c r="E81" s="965"/>
      <c r="F81" s="966"/>
      <c r="G81" s="965"/>
      <c r="H81" s="965"/>
      <c r="I81" s="965"/>
      <c r="J81" s="965"/>
      <c r="K81" s="965"/>
      <c r="L81" s="965"/>
      <c r="M81" s="965"/>
      <c r="N81" s="965"/>
      <c r="O81" s="965"/>
      <c r="P81" s="965"/>
      <c r="Q81" s="965"/>
      <c r="R81" s="965"/>
      <c r="S81" s="965"/>
      <c r="T81" s="965"/>
      <c r="U81" s="965"/>
      <c r="V81" s="965"/>
      <c r="W81" s="965"/>
      <c r="X81" s="965"/>
      <c r="Y81" s="965"/>
      <c r="Z81" s="965"/>
      <c r="AA81" s="965"/>
      <c r="AB81" s="965"/>
      <c r="AC81" s="965"/>
      <c r="AD81" s="965"/>
      <c r="AE81" s="965"/>
      <c r="AF81" s="965"/>
      <c r="AG81" s="965"/>
      <c r="AH81" s="965"/>
      <c r="AI81" s="965"/>
      <c r="AJ81" s="965"/>
      <c r="AK81" s="965"/>
      <c r="AL81" s="965"/>
      <c r="AM81" s="965"/>
      <c r="AN81" s="965"/>
      <c r="AO81" s="965"/>
      <c r="AP81" s="965"/>
      <c r="AQ81" s="965"/>
      <c r="AR81" s="965"/>
      <c r="AS81" s="965"/>
      <c r="AT81" s="965"/>
      <c r="AU81" s="965"/>
      <c r="AV81" s="965"/>
      <c r="AW81" s="965"/>
      <c r="AX81" s="965"/>
      <c r="AY81" s="965"/>
      <c r="AZ81" s="965"/>
      <c r="BA81" s="965"/>
      <c r="BB81" s="965"/>
      <c r="BC81" s="965"/>
      <c r="BD81" s="965"/>
      <c r="BE81" s="965"/>
      <c r="BF81" s="965"/>
      <c r="BG81" s="965"/>
      <c r="BH81" s="965"/>
      <c r="BI81" s="965"/>
      <c r="BJ81" s="965"/>
      <c r="BK81" s="965"/>
      <c r="BL81" s="965"/>
      <c r="BM81" s="965"/>
      <c r="BN81" s="965"/>
      <c r="BO81" s="965"/>
      <c r="BP81" s="965"/>
      <c r="BQ81" s="965"/>
      <c r="BR81" s="965"/>
      <c r="BS81" s="965"/>
      <c r="BT81" s="965"/>
      <c r="BU81" s="965"/>
      <c r="BV81" s="965"/>
      <c r="BW81" s="965"/>
      <c r="BX81" s="965"/>
      <c r="BY81" s="965"/>
      <c r="BZ81" s="965"/>
      <c r="CA81" s="965"/>
      <c r="CB81" s="965"/>
      <c r="CC81" s="965"/>
      <c r="CD81" s="965"/>
      <c r="CE81" s="965"/>
      <c r="CF81" s="965"/>
      <c r="CG81" s="965"/>
      <c r="CH81" s="965"/>
      <c r="CI81" s="965"/>
      <c r="CJ81" s="965"/>
      <c r="CK81" s="965"/>
      <c r="CL81" s="965"/>
      <c r="CM81" s="965"/>
      <c r="CN81" s="965"/>
      <c r="CO81" s="965"/>
      <c r="CP81" s="965"/>
      <c r="CQ81" s="965"/>
      <c r="CR81" s="965"/>
      <c r="CS81" s="965"/>
      <c r="CT81" s="965"/>
      <c r="CU81" s="965"/>
      <c r="CV81" s="965"/>
      <c r="CW81" s="965"/>
      <c r="CX81" s="965"/>
      <c r="CY81" s="965"/>
      <c r="CZ81" s="965"/>
      <c r="DA81" s="965"/>
      <c r="DB81" s="965"/>
      <c r="DC81" s="965"/>
      <c r="DD81" s="965"/>
      <c r="DE81" s="965"/>
      <c r="DF81" s="965"/>
      <c r="DG81" s="965"/>
      <c r="DH81" s="965"/>
      <c r="DI81" s="965"/>
      <c r="DJ81" s="965"/>
      <c r="DK81" s="965"/>
      <c r="DL81" s="965"/>
      <c r="DM81" s="965"/>
      <c r="DN81" s="965"/>
      <c r="DO81" s="965"/>
      <c r="DP81" s="965"/>
      <c r="DQ81" s="965"/>
      <c r="DR81" s="965"/>
      <c r="DS81" s="965"/>
      <c r="DT81" s="965"/>
      <c r="DU81" s="965"/>
      <c r="DV81" s="965"/>
      <c r="DW81" s="965"/>
      <c r="DX81" s="965"/>
      <c r="DY81" s="965"/>
      <c r="DZ81" s="965"/>
      <c r="EA81" s="965"/>
      <c r="EB81" s="965"/>
      <c r="EC81" s="965"/>
      <c r="ED81" s="965"/>
      <c r="EE81" s="965"/>
      <c r="EF81" s="965"/>
      <c r="EG81" s="965"/>
      <c r="EH81" s="965"/>
      <c r="EI81" s="965"/>
      <c r="EJ81" s="965"/>
      <c r="EK81" s="965"/>
      <c r="EL81" s="965"/>
      <c r="EM81" s="965"/>
      <c r="EN81" s="965"/>
      <c r="EO81" s="965"/>
      <c r="EP81" s="965"/>
      <c r="EQ81" s="965"/>
      <c r="ER81" s="965"/>
      <c r="ES81" s="965"/>
      <c r="ET81" s="965"/>
      <c r="EU81" s="965"/>
      <c r="EV81" s="965"/>
      <c r="EW81" s="965"/>
      <c r="EX81" s="965"/>
      <c r="EY81" s="965"/>
      <c r="EZ81" s="965"/>
      <c r="FA81" s="965"/>
      <c r="FB81" s="965"/>
      <c r="FC81" s="965"/>
      <c r="FD81" s="965"/>
      <c r="FE81" s="965"/>
      <c r="FF81" s="965"/>
      <c r="FG81" s="965"/>
      <c r="FH81" s="965"/>
      <c r="FI81" s="965"/>
      <c r="FJ81" s="965"/>
      <c r="FK81" s="965"/>
      <c r="FL81" s="965"/>
      <c r="FM81" s="965"/>
      <c r="FN81" s="965"/>
      <c r="FO81" s="965"/>
      <c r="FP81" s="965"/>
      <c r="FQ81" s="965"/>
      <c r="FR81" s="965"/>
      <c r="FS81" s="965"/>
      <c r="FT81" s="965"/>
      <c r="FU81" s="965"/>
      <c r="FV81" s="965"/>
      <c r="FW81" s="965"/>
      <c r="FX81" s="965"/>
      <c r="FY81" s="965"/>
      <c r="FZ81" s="965"/>
      <c r="GA81" s="965"/>
      <c r="GB81" s="965"/>
      <c r="GC81" s="965"/>
      <c r="GD81" s="965"/>
      <c r="GE81" s="965"/>
      <c r="GF81" s="965"/>
      <c r="GG81" s="965"/>
      <c r="GH81" s="965"/>
      <c r="GI81" s="965"/>
      <c r="GJ81" s="965"/>
      <c r="GK81" s="965"/>
      <c r="GL81" s="965"/>
      <c r="GM81" s="965"/>
      <c r="GN81" s="965"/>
      <c r="GO81" s="965"/>
      <c r="GP81" s="965"/>
      <c r="GQ81" s="965"/>
      <c r="GR81" s="965"/>
      <c r="GS81" s="965"/>
      <c r="GT81" s="965"/>
      <c r="GU81" s="965"/>
      <c r="GV81" s="965"/>
      <c r="GW81" s="965"/>
      <c r="GX81" s="965"/>
      <c r="GY81" s="965"/>
      <c r="GZ81" s="965"/>
      <c r="HA81" s="965"/>
      <c r="HB81" s="965"/>
      <c r="HC81" s="965"/>
      <c r="HD81" s="965"/>
      <c r="HE81" s="965"/>
      <c r="HF81" s="965"/>
      <c r="HG81" s="965"/>
      <c r="HH81" s="965"/>
      <c r="HI81" s="965"/>
      <c r="HJ81" s="965"/>
      <c r="HK81" s="965"/>
      <c r="HL81" s="965"/>
      <c r="HM81" s="965"/>
      <c r="HN81" s="965"/>
      <c r="HO81" s="965"/>
      <c r="HP81" s="965"/>
      <c r="HQ81" s="965"/>
      <c r="HR81" s="965"/>
      <c r="HS81" s="965"/>
      <c r="HT81" s="965"/>
      <c r="HU81" s="965"/>
      <c r="HV81" s="965"/>
      <c r="HW81" s="965"/>
      <c r="HX81" s="965"/>
      <c r="HY81" s="965"/>
      <c r="HZ81" s="965"/>
      <c r="IA81" s="965"/>
      <c r="IB81" s="965"/>
      <c r="IC81" s="965"/>
      <c r="ID81" s="965"/>
      <c r="IE81" s="965"/>
      <c r="IF81" s="965"/>
      <c r="IG81" s="965"/>
      <c r="IH81" s="965"/>
      <c r="II81" s="965"/>
      <c r="IJ81" s="965"/>
      <c r="IK81" s="965"/>
      <c r="IL81" s="965"/>
      <c r="IM81" s="965"/>
      <c r="IN81" s="965"/>
      <c r="IO81" s="965"/>
      <c r="IP81" s="965"/>
      <c r="IQ81" s="965"/>
      <c r="IR81" s="965"/>
      <c r="IS81" s="965"/>
      <c r="IT81" s="965"/>
      <c r="IU81" s="965"/>
      <c r="IV81" s="965"/>
      <c r="IW81" s="965"/>
    </row>
    <row r="82" customFormat="false" ht="12.75" hidden="false" customHeight="false" outlineLevel="0" collapsed="false">
      <c r="A82" s="967" t="s">
        <v>921</v>
      </c>
      <c r="B82" s="964"/>
      <c r="C82" s="964"/>
      <c r="D82" s="965"/>
      <c r="E82" s="965"/>
      <c r="F82" s="966"/>
      <c r="G82" s="965"/>
      <c r="H82" s="965"/>
      <c r="I82" s="965"/>
      <c r="J82" s="965"/>
      <c r="K82" s="965"/>
      <c r="L82" s="965"/>
      <c r="M82" s="965"/>
      <c r="N82" s="965"/>
      <c r="O82" s="965"/>
      <c r="P82" s="965"/>
      <c r="Q82" s="965"/>
      <c r="R82" s="965"/>
      <c r="S82" s="965"/>
      <c r="T82" s="965"/>
      <c r="U82" s="965"/>
      <c r="V82" s="965"/>
      <c r="W82" s="965"/>
      <c r="X82" s="965"/>
      <c r="Y82" s="965"/>
      <c r="Z82" s="965"/>
      <c r="AA82" s="965"/>
      <c r="AB82" s="965"/>
      <c r="AC82" s="965"/>
      <c r="AD82" s="965"/>
      <c r="AE82" s="965"/>
      <c r="AF82" s="965"/>
      <c r="AG82" s="965"/>
      <c r="AH82" s="965"/>
      <c r="AI82" s="965"/>
      <c r="AJ82" s="965"/>
      <c r="AK82" s="965"/>
      <c r="AL82" s="965"/>
      <c r="AM82" s="965"/>
      <c r="AN82" s="965"/>
      <c r="AO82" s="965"/>
      <c r="AP82" s="965"/>
      <c r="AQ82" s="965"/>
      <c r="AR82" s="965"/>
      <c r="AS82" s="965"/>
      <c r="AT82" s="965"/>
      <c r="AU82" s="965"/>
      <c r="AV82" s="965"/>
      <c r="AW82" s="965"/>
      <c r="AX82" s="965"/>
      <c r="AY82" s="965"/>
      <c r="AZ82" s="965"/>
      <c r="BA82" s="965"/>
      <c r="BB82" s="965"/>
      <c r="BC82" s="965"/>
      <c r="BD82" s="965"/>
      <c r="BE82" s="965"/>
      <c r="BF82" s="965"/>
      <c r="BG82" s="965"/>
      <c r="BH82" s="965"/>
      <c r="BI82" s="965"/>
      <c r="BJ82" s="965"/>
      <c r="BK82" s="965"/>
      <c r="BL82" s="965"/>
      <c r="BM82" s="965"/>
      <c r="BN82" s="965"/>
      <c r="BO82" s="965"/>
      <c r="BP82" s="965"/>
      <c r="BQ82" s="965"/>
      <c r="BR82" s="965"/>
      <c r="BS82" s="965"/>
      <c r="BT82" s="965"/>
      <c r="BU82" s="965"/>
      <c r="BV82" s="965"/>
      <c r="BW82" s="965"/>
      <c r="BX82" s="965"/>
      <c r="BY82" s="965"/>
      <c r="BZ82" s="965"/>
      <c r="CA82" s="965"/>
      <c r="CB82" s="965"/>
      <c r="CC82" s="965"/>
      <c r="CD82" s="965"/>
      <c r="CE82" s="965"/>
      <c r="CF82" s="965"/>
      <c r="CG82" s="965"/>
      <c r="CH82" s="965"/>
      <c r="CI82" s="965"/>
      <c r="CJ82" s="965"/>
      <c r="CK82" s="965"/>
      <c r="CL82" s="965"/>
      <c r="CM82" s="965"/>
      <c r="CN82" s="965"/>
      <c r="CO82" s="965"/>
      <c r="CP82" s="965"/>
      <c r="CQ82" s="965"/>
      <c r="CR82" s="965"/>
      <c r="CS82" s="965"/>
      <c r="CT82" s="965"/>
      <c r="CU82" s="965"/>
      <c r="CV82" s="965"/>
      <c r="CW82" s="965"/>
      <c r="CX82" s="965"/>
      <c r="CY82" s="965"/>
      <c r="CZ82" s="965"/>
      <c r="DA82" s="965"/>
      <c r="DB82" s="965"/>
      <c r="DC82" s="965"/>
      <c r="DD82" s="965"/>
      <c r="DE82" s="965"/>
      <c r="DF82" s="965"/>
      <c r="DG82" s="965"/>
      <c r="DH82" s="965"/>
      <c r="DI82" s="965"/>
      <c r="DJ82" s="965"/>
      <c r="DK82" s="965"/>
      <c r="DL82" s="965"/>
      <c r="DM82" s="965"/>
      <c r="DN82" s="965"/>
      <c r="DO82" s="965"/>
      <c r="DP82" s="965"/>
      <c r="DQ82" s="965"/>
      <c r="DR82" s="965"/>
      <c r="DS82" s="965"/>
      <c r="DT82" s="965"/>
      <c r="DU82" s="965"/>
      <c r="DV82" s="965"/>
      <c r="DW82" s="965"/>
      <c r="DX82" s="965"/>
      <c r="DY82" s="965"/>
      <c r="DZ82" s="965"/>
      <c r="EA82" s="965"/>
      <c r="EB82" s="965"/>
      <c r="EC82" s="965"/>
      <c r="ED82" s="965"/>
      <c r="EE82" s="965"/>
      <c r="EF82" s="965"/>
      <c r="EG82" s="965"/>
      <c r="EH82" s="965"/>
      <c r="EI82" s="965"/>
      <c r="EJ82" s="965"/>
      <c r="EK82" s="965"/>
      <c r="EL82" s="965"/>
      <c r="EM82" s="965"/>
      <c r="EN82" s="965"/>
      <c r="EO82" s="965"/>
      <c r="EP82" s="965"/>
      <c r="EQ82" s="965"/>
      <c r="ER82" s="965"/>
      <c r="ES82" s="965"/>
      <c r="ET82" s="965"/>
      <c r="EU82" s="965"/>
      <c r="EV82" s="965"/>
      <c r="EW82" s="965"/>
      <c r="EX82" s="965"/>
      <c r="EY82" s="965"/>
      <c r="EZ82" s="965"/>
      <c r="FA82" s="965"/>
      <c r="FB82" s="965"/>
      <c r="FC82" s="965"/>
      <c r="FD82" s="965"/>
      <c r="FE82" s="965"/>
      <c r="FF82" s="965"/>
      <c r="FG82" s="965"/>
      <c r="FH82" s="965"/>
      <c r="FI82" s="965"/>
      <c r="FJ82" s="965"/>
      <c r="FK82" s="965"/>
      <c r="FL82" s="965"/>
      <c r="FM82" s="965"/>
      <c r="FN82" s="965"/>
      <c r="FO82" s="965"/>
      <c r="FP82" s="965"/>
      <c r="FQ82" s="965"/>
      <c r="FR82" s="965"/>
      <c r="FS82" s="965"/>
      <c r="FT82" s="965"/>
      <c r="FU82" s="965"/>
      <c r="FV82" s="965"/>
      <c r="FW82" s="965"/>
      <c r="FX82" s="965"/>
      <c r="FY82" s="965"/>
      <c r="FZ82" s="965"/>
      <c r="GA82" s="965"/>
      <c r="GB82" s="965"/>
      <c r="GC82" s="965"/>
      <c r="GD82" s="965"/>
      <c r="GE82" s="965"/>
      <c r="GF82" s="965"/>
      <c r="GG82" s="965"/>
      <c r="GH82" s="965"/>
      <c r="GI82" s="965"/>
      <c r="GJ82" s="965"/>
      <c r="GK82" s="965"/>
      <c r="GL82" s="965"/>
      <c r="GM82" s="965"/>
      <c r="GN82" s="965"/>
      <c r="GO82" s="965"/>
      <c r="GP82" s="965"/>
      <c r="GQ82" s="965"/>
      <c r="GR82" s="965"/>
      <c r="GS82" s="965"/>
      <c r="GT82" s="965"/>
      <c r="GU82" s="965"/>
      <c r="GV82" s="965"/>
      <c r="GW82" s="965"/>
      <c r="GX82" s="965"/>
      <c r="GY82" s="965"/>
      <c r="GZ82" s="965"/>
      <c r="HA82" s="965"/>
      <c r="HB82" s="965"/>
      <c r="HC82" s="965"/>
      <c r="HD82" s="965"/>
      <c r="HE82" s="965"/>
      <c r="HF82" s="965"/>
      <c r="HG82" s="965"/>
      <c r="HH82" s="965"/>
      <c r="HI82" s="965"/>
      <c r="HJ82" s="965"/>
      <c r="HK82" s="965"/>
      <c r="HL82" s="965"/>
      <c r="HM82" s="965"/>
      <c r="HN82" s="965"/>
      <c r="HO82" s="965"/>
      <c r="HP82" s="965"/>
      <c r="HQ82" s="965"/>
      <c r="HR82" s="965"/>
      <c r="HS82" s="965"/>
      <c r="HT82" s="965"/>
      <c r="HU82" s="965"/>
      <c r="HV82" s="965"/>
      <c r="HW82" s="965"/>
      <c r="HX82" s="965"/>
      <c r="HY82" s="965"/>
      <c r="HZ82" s="965"/>
      <c r="IA82" s="965"/>
      <c r="IB82" s="965"/>
      <c r="IC82" s="965"/>
      <c r="ID82" s="965"/>
      <c r="IE82" s="965"/>
      <c r="IF82" s="965"/>
      <c r="IG82" s="965"/>
      <c r="IH82" s="965"/>
      <c r="II82" s="965"/>
      <c r="IJ82" s="965"/>
      <c r="IK82" s="965"/>
      <c r="IL82" s="965"/>
      <c r="IM82" s="965"/>
      <c r="IN82" s="965"/>
      <c r="IO82" s="965"/>
      <c r="IP82" s="965"/>
      <c r="IQ82" s="965"/>
      <c r="IR82" s="965"/>
      <c r="IS82" s="965"/>
      <c r="IT82" s="965"/>
      <c r="IU82" s="965"/>
      <c r="IV82" s="965"/>
      <c r="IW82" s="965"/>
    </row>
    <row r="83" customFormat="false" ht="12.75" hidden="false" customHeight="false" outlineLevel="0" collapsed="false">
      <c r="A83" s="964" t="s">
        <v>922</v>
      </c>
      <c r="B83" s="964"/>
      <c r="C83" s="964"/>
      <c r="D83" s="965"/>
      <c r="E83" s="965"/>
      <c r="F83" s="966" t="s">
        <v>919</v>
      </c>
      <c r="G83" s="968" t="s">
        <v>919</v>
      </c>
      <c r="H83" s="968" t="s">
        <v>919</v>
      </c>
      <c r="I83" s="968" t="s">
        <v>919</v>
      </c>
      <c r="J83" s="968" t="s">
        <v>919</v>
      </c>
      <c r="K83" s="968" t="s">
        <v>919</v>
      </c>
      <c r="L83" s="968" t="s">
        <v>919</v>
      </c>
      <c r="M83" s="968" t="s">
        <v>919</v>
      </c>
      <c r="N83" s="968" t="s">
        <v>919</v>
      </c>
      <c r="O83" s="968" t="s">
        <v>919</v>
      </c>
      <c r="P83" s="968" t="s">
        <v>919</v>
      </c>
      <c r="Q83" s="968" t="s">
        <v>919</v>
      </c>
      <c r="R83" s="968" t="s">
        <v>919</v>
      </c>
      <c r="S83" s="968" t="s">
        <v>919</v>
      </c>
      <c r="T83" s="968" t="s">
        <v>919</v>
      </c>
      <c r="U83" s="968" t="s">
        <v>919</v>
      </c>
      <c r="V83" s="968" t="s">
        <v>919</v>
      </c>
      <c r="W83" s="968" t="s">
        <v>919</v>
      </c>
      <c r="X83" s="968" t="s">
        <v>919</v>
      </c>
      <c r="Y83" s="968" t="s">
        <v>919</v>
      </c>
      <c r="Z83" s="968" t="s">
        <v>919</v>
      </c>
      <c r="AA83" s="968" t="s">
        <v>919</v>
      </c>
      <c r="AB83" s="968" t="s">
        <v>919</v>
      </c>
      <c r="AC83" s="965"/>
      <c r="AD83" s="965"/>
      <c r="AE83" s="965"/>
      <c r="AF83" s="965"/>
      <c r="AG83" s="965"/>
      <c r="AH83" s="965"/>
      <c r="AI83" s="965"/>
      <c r="AJ83" s="965"/>
      <c r="AK83" s="965"/>
      <c r="AL83" s="965"/>
      <c r="AM83" s="965"/>
      <c r="AN83" s="965"/>
      <c r="AO83" s="965"/>
      <c r="AP83" s="965"/>
      <c r="AQ83" s="965"/>
      <c r="AR83" s="965"/>
      <c r="AS83" s="965"/>
      <c r="AT83" s="965"/>
      <c r="AU83" s="965"/>
      <c r="AV83" s="965"/>
      <c r="AW83" s="965"/>
      <c r="AX83" s="965"/>
      <c r="AY83" s="965"/>
      <c r="AZ83" s="965"/>
      <c r="BA83" s="965"/>
      <c r="BB83" s="965"/>
      <c r="BC83" s="965"/>
      <c r="BD83" s="965"/>
      <c r="BE83" s="965"/>
      <c r="BF83" s="965"/>
      <c r="BG83" s="965"/>
      <c r="BH83" s="965"/>
      <c r="BI83" s="965"/>
      <c r="BJ83" s="965"/>
      <c r="BK83" s="965"/>
      <c r="BL83" s="965"/>
      <c r="BM83" s="965"/>
      <c r="BN83" s="965"/>
      <c r="BO83" s="965"/>
      <c r="BP83" s="965"/>
      <c r="BQ83" s="965"/>
      <c r="BR83" s="965"/>
      <c r="BS83" s="965"/>
      <c r="BT83" s="965"/>
      <c r="BU83" s="965"/>
      <c r="BV83" s="965"/>
      <c r="BW83" s="965"/>
      <c r="BX83" s="965"/>
      <c r="BY83" s="965"/>
      <c r="BZ83" s="965"/>
      <c r="CA83" s="965"/>
      <c r="CB83" s="965"/>
      <c r="CC83" s="965"/>
      <c r="CD83" s="965"/>
      <c r="CE83" s="965"/>
      <c r="CF83" s="965"/>
      <c r="CG83" s="965"/>
      <c r="CH83" s="965"/>
      <c r="CI83" s="965"/>
      <c r="CJ83" s="965"/>
      <c r="CK83" s="965"/>
      <c r="CL83" s="965"/>
      <c r="CM83" s="965"/>
      <c r="CN83" s="965"/>
      <c r="CO83" s="965"/>
      <c r="CP83" s="965"/>
      <c r="CQ83" s="965"/>
      <c r="CR83" s="965"/>
      <c r="CS83" s="965"/>
      <c r="CT83" s="965"/>
      <c r="CU83" s="965"/>
      <c r="CV83" s="965"/>
      <c r="CW83" s="965"/>
      <c r="CX83" s="965"/>
      <c r="CY83" s="965"/>
      <c r="CZ83" s="965"/>
      <c r="DA83" s="965"/>
      <c r="DB83" s="965"/>
      <c r="DC83" s="965"/>
      <c r="DD83" s="965"/>
      <c r="DE83" s="965"/>
      <c r="DF83" s="965"/>
      <c r="DG83" s="965"/>
      <c r="DH83" s="965"/>
      <c r="DI83" s="965"/>
      <c r="DJ83" s="965"/>
      <c r="DK83" s="965"/>
      <c r="DL83" s="965"/>
      <c r="DM83" s="965"/>
      <c r="DN83" s="965"/>
      <c r="DO83" s="965"/>
      <c r="DP83" s="965"/>
      <c r="DQ83" s="965"/>
      <c r="DR83" s="965"/>
      <c r="DS83" s="965"/>
      <c r="DT83" s="965"/>
      <c r="DU83" s="965"/>
      <c r="DV83" s="965"/>
      <c r="DW83" s="965"/>
      <c r="DX83" s="965"/>
      <c r="DY83" s="965"/>
      <c r="DZ83" s="965"/>
      <c r="EA83" s="965"/>
      <c r="EB83" s="965"/>
      <c r="EC83" s="965"/>
      <c r="ED83" s="965"/>
      <c r="EE83" s="965"/>
      <c r="EF83" s="965"/>
      <c r="EG83" s="965"/>
      <c r="EH83" s="965"/>
      <c r="EI83" s="965"/>
      <c r="EJ83" s="965"/>
      <c r="EK83" s="965"/>
      <c r="EL83" s="965"/>
      <c r="EM83" s="965"/>
      <c r="EN83" s="965"/>
      <c r="EO83" s="965"/>
      <c r="EP83" s="965"/>
      <c r="EQ83" s="965"/>
      <c r="ER83" s="965"/>
      <c r="ES83" s="965"/>
      <c r="ET83" s="965"/>
      <c r="EU83" s="965"/>
      <c r="EV83" s="965"/>
      <c r="EW83" s="965"/>
      <c r="EX83" s="965"/>
      <c r="EY83" s="965"/>
      <c r="EZ83" s="965"/>
      <c r="FA83" s="965"/>
      <c r="FB83" s="965"/>
      <c r="FC83" s="965"/>
      <c r="FD83" s="965"/>
      <c r="FE83" s="965"/>
      <c r="FF83" s="965"/>
      <c r="FG83" s="965"/>
      <c r="FH83" s="965"/>
      <c r="FI83" s="965"/>
      <c r="FJ83" s="965"/>
      <c r="FK83" s="965"/>
      <c r="FL83" s="965"/>
      <c r="FM83" s="965"/>
      <c r="FN83" s="965"/>
      <c r="FO83" s="965"/>
      <c r="FP83" s="965"/>
      <c r="FQ83" s="965"/>
      <c r="FR83" s="965"/>
      <c r="FS83" s="965"/>
      <c r="FT83" s="965"/>
      <c r="FU83" s="965"/>
      <c r="FV83" s="965"/>
      <c r="FW83" s="965"/>
      <c r="FX83" s="965"/>
      <c r="FY83" s="965"/>
      <c r="FZ83" s="965"/>
      <c r="GA83" s="965"/>
      <c r="GB83" s="965"/>
      <c r="GC83" s="965"/>
      <c r="GD83" s="965"/>
      <c r="GE83" s="965"/>
      <c r="GF83" s="965"/>
      <c r="GG83" s="965"/>
      <c r="GH83" s="965"/>
      <c r="GI83" s="965"/>
      <c r="GJ83" s="965"/>
      <c r="GK83" s="965"/>
      <c r="GL83" s="965"/>
      <c r="GM83" s="965"/>
      <c r="GN83" s="965"/>
      <c r="GO83" s="965"/>
      <c r="GP83" s="965"/>
      <c r="GQ83" s="965"/>
      <c r="GR83" s="965"/>
      <c r="GS83" s="965"/>
      <c r="GT83" s="965"/>
      <c r="GU83" s="965"/>
      <c r="GV83" s="965"/>
      <c r="GW83" s="965"/>
      <c r="GX83" s="965"/>
      <c r="GY83" s="965"/>
      <c r="GZ83" s="965"/>
      <c r="HA83" s="965"/>
      <c r="HB83" s="965"/>
      <c r="HC83" s="965"/>
      <c r="HD83" s="965"/>
      <c r="HE83" s="965"/>
      <c r="HF83" s="965"/>
      <c r="HG83" s="965"/>
      <c r="HH83" s="965"/>
      <c r="HI83" s="965"/>
      <c r="HJ83" s="965"/>
      <c r="HK83" s="965"/>
      <c r="HL83" s="965"/>
      <c r="HM83" s="965"/>
      <c r="HN83" s="965"/>
      <c r="HO83" s="965"/>
      <c r="HP83" s="965"/>
      <c r="HQ83" s="965"/>
      <c r="HR83" s="965"/>
      <c r="HS83" s="965"/>
      <c r="HT83" s="965"/>
      <c r="HU83" s="965"/>
      <c r="HV83" s="965"/>
      <c r="HW83" s="965"/>
      <c r="HX83" s="965"/>
      <c r="HY83" s="965"/>
      <c r="HZ83" s="965"/>
      <c r="IA83" s="965"/>
      <c r="IB83" s="965"/>
      <c r="IC83" s="965"/>
      <c r="ID83" s="965"/>
      <c r="IE83" s="965"/>
      <c r="IF83" s="965"/>
      <c r="IG83" s="965"/>
      <c r="IH83" s="965"/>
      <c r="II83" s="965"/>
      <c r="IJ83" s="965"/>
      <c r="IK83" s="965"/>
      <c r="IL83" s="965"/>
      <c r="IM83" s="965"/>
      <c r="IN83" s="965"/>
      <c r="IO83" s="965"/>
      <c r="IP83" s="965"/>
      <c r="IQ83" s="965"/>
      <c r="IR83" s="965"/>
      <c r="IS83" s="965"/>
      <c r="IT83" s="965"/>
      <c r="IU83" s="965"/>
      <c r="IV83" s="965"/>
      <c r="IW83" s="965"/>
    </row>
    <row r="84" customFormat="false" ht="12.75" hidden="false" customHeight="false" outlineLevel="0" collapsed="false">
      <c r="A84" s="964" t="s">
        <v>923</v>
      </c>
      <c r="B84" s="964"/>
      <c r="C84" s="964"/>
      <c r="D84" s="965"/>
      <c r="E84" s="965"/>
      <c r="F84" s="966" t="s">
        <v>919</v>
      </c>
      <c r="G84" s="968" t="s">
        <v>919</v>
      </c>
      <c r="H84" s="968" t="s">
        <v>919</v>
      </c>
      <c r="I84" s="968" t="s">
        <v>919</v>
      </c>
      <c r="J84" s="968" t="s">
        <v>919</v>
      </c>
      <c r="K84" s="968" t="s">
        <v>919</v>
      </c>
      <c r="L84" s="968" t="s">
        <v>919</v>
      </c>
      <c r="M84" s="968" t="s">
        <v>919</v>
      </c>
      <c r="N84" s="968" t="s">
        <v>919</v>
      </c>
      <c r="O84" s="968" t="s">
        <v>919</v>
      </c>
      <c r="P84" s="968" t="s">
        <v>919</v>
      </c>
      <c r="Q84" s="968" t="s">
        <v>919</v>
      </c>
      <c r="R84" s="968" t="s">
        <v>919</v>
      </c>
      <c r="S84" s="968" t="s">
        <v>919</v>
      </c>
      <c r="T84" s="968" t="s">
        <v>919</v>
      </c>
      <c r="U84" s="968" t="s">
        <v>919</v>
      </c>
      <c r="V84" s="968" t="s">
        <v>919</v>
      </c>
      <c r="W84" s="968" t="s">
        <v>919</v>
      </c>
      <c r="X84" s="968" t="s">
        <v>919</v>
      </c>
      <c r="Y84" s="968" t="s">
        <v>919</v>
      </c>
      <c r="Z84" s="968" t="s">
        <v>919</v>
      </c>
      <c r="AA84" s="968" t="s">
        <v>919</v>
      </c>
      <c r="AB84" s="968" t="s">
        <v>919</v>
      </c>
      <c r="AC84" s="965"/>
      <c r="AD84" s="965"/>
      <c r="AE84" s="965"/>
      <c r="AF84" s="965"/>
      <c r="AG84" s="965"/>
      <c r="AH84" s="965"/>
      <c r="AI84" s="965"/>
      <c r="AJ84" s="965"/>
      <c r="AK84" s="965"/>
      <c r="AL84" s="965"/>
      <c r="AM84" s="965"/>
      <c r="AN84" s="965"/>
      <c r="AO84" s="965"/>
      <c r="AP84" s="965"/>
      <c r="AQ84" s="965"/>
      <c r="AR84" s="965"/>
      <c r="AS84" s="965"/>
      <c r="AT84" s="965"/>
      <c r="AU84" s="965"/>
      <c r="AV84" s="965"/>
      <c r="AW84" s="965"/>
      <c r="AX84" s="965"/>
      <c r="AY84" s="965"/>
      <c r="AZ84" s="965"/>
      <c r="BA84" s="965"/>
      <c r="BB84" s="965"/>
      <c r="BC84" s="965"/>
      <c r="BD84" s="965"/>
      <c r="BE84" s="965"/>
      <c r="BF84" s="965"/>
      <c r="BG84" s="965"/>
      <c r="BH84" s="965"/>
      <c r="BI84" s="965"/>
      <c r="BJ84" s="965"/>
      <c r="BK84" s="965"/>
      <c r="BL84" s="965"/>
      <c r="BM84" s="965"/>
      <c r="BN84" s="965"/>
      <c r="BO84" s="965"/>
      <c r="BP84" s="965"/>
      <c r="BQ84" s="965"/>
      <c r="BR84" s="965"/>
      <c r="BS84" s="965"/>
      <c r="BT84" s="965"/>
      <c r="BU84" s="965"/>
      <c r="BV84" s="965"/>
      <c r="BW84" s="965"/>
      <c r="BX84" s="965"/>
      <c r="BY84" s="965"/>
      <c r="BZ84" s="965"/>
      <c r="CA84" s="965"/>
      <c r="CB84" s="965"/>
      <c r="CC84" s="965"/>
      <c r="CD84" s="965"/>
      <c r="CE84" s="965"/>
      <c r="CF84" s="965"/>
      <c r="CG84" s="965"/>
      <c r="CH84" s="965"/>
      <c r="CI84" s="965"/>
      <c r="CJ84" s="965"/>
      <c r="CK84" s="965"/>
      <c r="CL84" s="965"/>
      <c r="CM84" s="965"/>
      <c r="CN84" s="965"/>
      <c r="CO84" s="965"/>
      <c r="CP84" s="965"/>
      <c r="CQ84" s="965"/>
      <c r="CR84" s="965"/>
      <c r="CS84" s="965"/>
      <c r="CT84" s="965"/>
      <c r="CU84" s="965"/>
      <c r="CV84" s="965"/>
      <c r="CW84" s="965"/>
      <c r="CX84" s="965"/>
      <c r="CY84" s="965"/>
      <c r="CZ84" s="965"/>
      <c r="DA84" s="965"/>
      <c r="DB84" s="965"/>
      <c r="DC84" s="965"/>
      <c r="DD84" s="965"/>
      <c r="DE84" s="965"/>
      <c r="DF84" s="965"/>
      <c r="DG84" s="965"/>
      <c r="DH84" s="965"/>
      <c r="DI84" s="965"/>
      <c r="DJ84" s="965"/>
      <c r="DK84" s="965"/>
      <c r="DL84" s="965"/>
      <c r="DM84" s="965"/>
      <c r="DN84" s="965"/>
      <c r="DO84" s="965"/>
      <c r="DP84" s="965"/>
      <c r="DQ84" s="965"/>
      <c r="DR84" s="965"/>
      <c r="DS84" s="965"/>
      <c r="DT84" s="965"/>
      <c r="DU84" s="965"/>
      <c r="DV84" s="965"/>
      <c r="DW84" s="965"/>
      <c r="DX84" s="965"/>
      <c r="DY84" s="965"/>
      <c r="DZ84" s="965"/>
      <c r="EA84" s="965"/>
      <c r="EB84" s="965"/>
      <c r="EC84" s="965"/>
      <c r="ED84" s="965"/>
      <c r="EE84" s="965"/>
      <c r="EF84" s="965"/>
      <c r="EG84" s="965"/>
      <c r="EH84" s="965"/>
      <c r="EI84" s="965"/>
      <c r="EJ84" s="965"/>
      <c r="EK84" s="965"/>
      <c r="EL84" s="965"/>
      <c r="EM84" s="965"/>
      <c r="EN84" s="965"/>
      <c r="EO84" s="965"/>
      <c r="EP84" s="965"/>
      <c r="EQ84" s="965"/>
      <c r="ER84" s="965"/>
      <c r="ES84" s="965"/>
      <c r="ET84" s="965"/>
      <c r="EU84" s="965"/>
      <c r="EV84" s="965"/>
      <c r="EW84" s="965"/>
      <c r="EX84" s="965"/>
      <c r="EY84" s="965"/>
      <c r="EZ84" s="965"/>
      <c r="FA84" s="965"/>
      <c r="FB84" s="965"/>
      <c r="FC84" s="965"/>
      <c r="FD84" s="965"/>
      <c r="FE84" s="965"/>
      <c r="FF84" s="965"/>
      <c r="FG84" s="965"/>
      <c r="FH84" s="965"/>
      <c r="FI84" s="965"/>
      <c r="FJ84" s="965"/>
      <c r="FK84" s="965"/>
      <c r="FL84" s="965"/>
      <c r="FM84" s="965"/>
      <c r="FN84" s="965"/>
      <c r="FO84" s="965"/>
      <c r="FP84" s="965"/>
      <c r="FQ84" s="965"/>
      <c r="FR84" s="965"/>
      <c r="FS84" s="965"/>
      <c r="FT84" s="965"/>
      <c r="FU84" s="965"/>
      <c r="FV84" s="965"/>
      <c r="FW84" s="965"/>
      <c r="FX84" s="965"/>
      <c r="FY84" s="965"/>
      <c r="FZ84" s="965"/>
      <c r="GA84" s="965"/>
      <c r="GB84" s="965"/>
      <c r="GC84" s="965"/>
      <c r="GD84" s="965"/>
      <c r="GE84" s="965"/>
      <c r="GF84" s="965"/>
      <c r="GG84" s="965"/>
      <c r="GH84" s="965"/>
      <c r="GI84" s="965"/>
      <c r="GJ84" s="965"/>
      <c r="GK84" s="965"/>
      <c r="GL84" s="965"/>
      <c r="GM84" s="965"/>
      <c r="GN84" s="965"/>
      <c r="GO84" s="965"/>
      <c r="GP84" s="965"/>
      <c r="GQ84" s="965"/>
      <c r="GR84" s="965"/>
      <c r="GS84" s="965"/>
      <c r="GT84" s="965"/>
      <c r="GU84" s="965"/>
      <c r="GV84" s="965"/>
      <c r="GW84" s="965"/>
      <c r="GX84" s="965"/>
      <c r="GY84" s="965"/>
      <c r="GZ84" s="965"/>
      <c r="HA84" s="965"/>
      <c r="HB84" s="965"/>
      <c r="HC84" s="965"/>
      <c r="HD84" s="965"/>
      <c r="HE84" s="965"/>
      <c r="HF84" s="965"/>
      <c r="HG84" s="965"/>
      <c r="HH84" s="965"/>
      <c r="HI84" s="965"/>
      <c r="HJ84" s="965"/>
      <c r="HK84" s="965"/>
      <c r="HL84" s="965"/>
      <c r="HM84" s="965"/>
      <c r="HN84" s="965"/>
      <c r="HO84" s="965"/>
      <c r="HP84" s="965"/>
      <c r="HQ84" s="965"/>
      <c r="HR84" s="965"/>
      <c r="HS84" s="965"/>
      <c r="HT84" s="965"/>
      <c r="HU84" s="965"/>
      <c r="HV84" s="965"/>
      <c r="HW84" s="965"/>
      <c r="HX84" s="965"/>
      <c r="HY84" s="965"/>
      <c r="HZ84" s="965"/>
      <c r="IA84" s="965"/>
      <c r="IB84" s="965"/>
      <c r="IC84" s="965"/>
      <c r="ID84" s="965"/>
      <c r="IE84" s="965"/>
      <c r="IF84" s="965"/>
      <c r="IG84" s="965"/>
      <c r="IH84" s="965"/>
      <c r="II84" s="965"/>
      <c r="IJ84" s="965"/>
      <c r="IK84" s="965"/>
      <c r="IL84" s="965"/>
      <c r="IM84" s="965"/>
      <c r="IN84" s="965"/>
      <c r="IO84" s="965"/>
      <c r="IP84" s="965"/>
      <c r="IQ84" s="965"/>
      <c r="IR84" s="965"/>
      <c r="IS84" s="965"/>
      <c r="IT84" s="965"/>
      <c r="IU84" s="965"/>
      <c r="IV84" s="965"/>
      <c r="IW84" s="965"/>
    </row>
    <row r="85" customFormat="false" ht="12.75" hidden="false" customHeight="false" outlineLevel="0" collapsed="false">
      <c r="A85" s="964" t="s">
        <v>924</v>
      </c>
      <c r="B85" s="964"/>
      <c r="C85" s="964"/>
      <c r="D85" s="965"/>
      <c r="E85" s="965"/>
      <c r="F85" s="966" t="n">
        <f aca="false">AVERAGE(J85:X85)</f>
        <v>3.59536167844807</v>
      </c>
      <c r="G85" s="965" t="s">
        <v>925</v>
      </c>
      <c r="H85" s="965" t="s">
        <v>925</v>
      </c>
      <c r="I85" s="965" t="s">
        <v>925</v>
      </c>
      <c r="J85" s="965" t="n">
        <f aca="false">(BS_IS!J41+BS_IS!J43)/-SUM(BS_IS!J44:J46)</f>
        <v>-0.0433407207153761</v>
      </c>
      <c r="K85" s="965" t="n">
        <f aca="false">(BS_IS!K41+BS_IS!K43)/-SUM(BS_IS!K44:K46)</f>
        <v>0.160655573448122</v>
      </c>
      <c r="L85" s="965" t="n">
        <f aca="false">(BS_IS!L41+BS_IS!L43)/-SUM(BS_IS!L44:L46)</f>
        <v>0.123158854245377</v>
      </c>
      <c r="M85" s="965" t="n">
        <f aca="false">(BS_IS!M41+BS_IS!M43)/-SUM(BS_IS!M44:M46)</f>
        <v>0.555394817232796</v>
      </c>
      <c r="N85" s="965" t="n">
        <f aca="false">(BS_IS!N41+BS_IS!N43)/-SUM(BS_IS!N44:N46)</f>
        <v>0.64994468602205</v>
      </c>
      <c r="O85" s="965" t="n">
        <f aca="false">(BS_IS!O41+BS_IS!O43)/-SUM(BS_IS!O44:O46)</f>
        <v>0.726344583409039</v>
      </c>
      <c r="P85" s="965" t="n">
        <f aca="false">(BS_IS!P41+BS_IS!P43)/-SUM(BS_IS!P44:P46)</f>
        <v>0.857689212390853</v>
      </c>
      <c r="Q85" s="965" t="n">
        <f aca="false">(BS_IS!Q41+BS_IS!Q43)/-SUM(BS_IS!Q44:Q46)</f>
        <v>1.00952239240199</v>
      </c>
      <c r="R85" s="965" t="n">
        <f aca="false">(BS_IS!R41+BS_IS!R43)/-SUM(BS_IS!R44:R46)</f>
        <v>1.23612932818722</v>
      </c>
      <c r="S85" s="965" t="n">
        <f aca="false">(BS_IS!S41+BS_IS!S43)/-SUM(BS_IS!S44:S46)</f>
        <v>1.49963849932061</v>
      </c>
      <c r="T85" s="965" t="n">
        <f aca="false">(BS_IS!T41+BS_IS!T43)/-SUM(BS_IS!T44:T46)</f>
        <v>1.96301947583377</v>
      </c>
      <c r="U85" s="965" t="n">
        <f aca="false">(BS_IS!U41+BS_IS!U43)/-SUM(BS_IS!U44:U46)</f>
        <v>2.86928800481143</v>
      </c>
      <c r="V85" s="965" t="n">
        <f aca="false">(BS_IS!V41+BS_IS!V43)/-SUM(BS_IS!V44:V46)</f>
        <v>4.05156174618041</v>
      </c>
      <c r="W85" s="965" t="n">
        <f aca="false">(BS_IS!W41+BS_IS!W43)/-SUM(BS_IS!W44:W46)</f>
        <v>8.33522220956055</v>
      </c>
      <c r="X85" s="965" t="n">
        <f aca="false">(BS_IS!X41+BS_IS!X43)/-SUM(BS_IS!X44:X46)</f>
        <v>29.9361965143923</v>
      </c>
      <c r="Y85" s="965" t="s">
        <v>925</v>
      </c>
      <c r="Z85" s="965" t="s">
        <v>925</v>
      </c>
      <c r="AA85" s="965" t="s">
        <v>925</v>
      </c>
      <c r="AB85" s="965" t="s">
        <v>925</v>
      </c>
      <c r="AC85" s="965"/>
      <c r="AD85" s="965"/>
      <c r="AE85" s="965"/>
      <c r="AF85" s="965"/>
      <c r="AG85" s="965"/>
      <c r="AH85" s="965"/>
      <c r="AI85" s="965"/>
      <c r="AJ85" s="965"/>
      <c r="AK85" s="965"/>
      <c r="AL85" s="965"/>
      <c r="AM85" s="965"/>
      <c r="AN85" s="965"/>
      <c r="AO85" s="965"/>
      <c r="AP85" s="965"/>
      <c r="AQ85" s="965"/>
      <c r="AR85" s="965"/>
      <c r="AS85" s="965"/>
      <c r="AT85" s="965"/>
      <c r="AU85" s="965"/>
      <c r="AV85" s="965"/>
      <c r="AW85" s="965"/>
      <c r="AX85" s="965"/>
      <c r="AY85" s="965"/>
      <c r="AZ85" s="965"/>
      <c r="BA85" s="965"/>
      <c r="BB85" s="965"/>
      <c r="BC85" s="965"/>
      <c r="BD85" s="965"/>
      <c r="BE85" s="965"/>
      <c r="BF85" s="965"/>
      <c r="BG85" s="965"/>
      <c r="BH85" s="965"/>
      <c r="BI85" s="965"/>
      <c r="BJ85" s="965"/>
      <c r="BK85" s="965"/>
      <c r="BL85" s="965"/>
      <c r="BM85" s="965"/>
      <c r="BN85" s="965"/>
      <c r="BO85" s="965"/>
      <c r="BP85" s="965"/>
      <c r="BQ85" s="965"/>
      <c r="BR85" s="965"/>
      <c r="BS85" s="965"/>
      <c r="BT85" s="965"/>
      <c r="BU85" s="965"/>
      <c r="BV85" s="965"/>
      <c r="BW85" s="965"/>
      <c r="BX85" s="965"/>
      <c r="BY85" s="965"/>
      <c r="BZ85" s="965"/>
      <c r="CA85" s="965"/>
      <c r="CB85" s="965"/>
      <c r="CC85" s="965"/>
      <c r="CD85" s="965"/>
      <c r="CE85" s="965"/>
      <c r="CF85" s="965"/>
      <c r="CG85" s="965"/>
      <c r="CH85" s="965"/>
      <c r="CI85" s="965"/>
      <c r="CJ85" s="965"/>
      <c r="CK85" s="965"/>
      <c r="CL85" s="965"/>
      <c r="CM85" s="965"/>
      <c r="CN85" s="965"/>
      <c r="CO85" s="965"/>
      <c r="CP85" s="965"/>
      <c r="CQ85" s="965"/>
      <c r="CR85" s="965"/>
      <c r="CS85" s="965"/>
      <c r="CT85" s="965"/>
      <c r="CU85" s="965"/>
      <c r="CV85" s="965"/>
      <c r="CW85" s="965"/>
      <c r="CX85" s="965"/>
      <c r="CY85" s="965"/>
      <c r="CZ85" s="965"/>
      <c r="DA85" s="965"/>
      <c r="DB85" s="965"/>
      <c r="DC85" s="965"/>
      <c r="DD85" s="965"/>
      <c r="DE85" s="965"/>
      <c r="DF85" s="965"/>
      <c r="DG85" s="965"/>
      <c r="DH85" s="965"/>
      <c r="DI85" s="965"/>
      <c r="DJ85" s="965"/>
      <c r="DK85" s="965"/>
      <c r="DL85" s="965"/>
      <c r="DM85" s="965"/>
      <c r="DN85" s="965"/>
      <c r="DO85" s="965"/>
      <c r="DP85" s="965"/>
      <c r="DQ85" s="965"/>
      <c r="DR85" s="965"/>
      <c r="DS85" s="965"/>
      <c r="DT85" s="965"/>
      <c r="DU85" s="965"/>
      <c r="DV85" s="965"/>
      <c r="DW85" s="965"/>
      <c r="DX85" s="965"/>
      <c r="DY85" s="965"/>
      <c r="DZ85" s="965"/>
      <c r="EA85" s="965"/>
      <c r="EB85" s="965"/>
      <c r="EC85" s="965"/>
      <c r="ED85" s="965"/>
      <c r="EE85" s="965"/>
      <c r="EF85" s="965"/>
      <c r="EG85" s="965"/>
      <c r="EH85" s="965"/>
      <c r="EI85" s="965"/>
      <c r="EJ85" s="965"/>
      <c r="EK85" s="965"/>
      <c r="EL85" s="965"/>
      <c r="EM85" s="965"/>
      <c r="EN85" s="965"/>
      <c r="EO85" s="965"/>
      <c r="EP85" s="965"/>
      <c r="EQ85" s="965"/>
      <c r="ER85" s="965"/>
      <c r="ES85" s="965"/>
      <c r="ET85" s="965"/>
      <c r="EU85" s="965"/>
      <c r="EV85" s="965"/>
      <c r="EW85" s="965"/>
      <c r="EX85" s="965"/>
      <c r="EY85" s="965"/>
      <c r="EZ85" s="965"/>
      <c r="FA85" s="965"/>
      <c r="FB85" s="965"/>
      <c r="FC85" s="965"/>
      <c r="FD85" s="965"/>
      <c r="FE85" s="965"/>
      <c r="FF85" s="965"/>
      <c r="FG85" s="965"/>
      <c r="FH85" s="965"/>
      <c r="FI85" s="965"/>
      <c r="FJ85" s="965"/>
      <c r="FK85" s="965"/>
      <c r="FL85" s="965"/>
      <c r="FM85" s="965"/>
      <c r="FN85" s="965"/>
      <c r="FO85" s="965"/>
      <c r="FP85" s="965"/>
      <c r="FQ85" s="965"/>
      <c r="FR85" s="965"/>
      <c r="FS85" s="965"/>
      <c r="FT85" s="965"/>
      <c r="FU85" s="965"/>
      <c r="FV85" s="965"/>
      <c r="FW85" s="965"/>
      <c r="FX85" s="965"/>
      <c r="FY85" s="965"/>
      <c r="FZ85" s="965"/>
      <c r="GA85" s="965"/>
      <c r="GB85" s="965"/>
      <c r="GC85" s="965"/>
      <c r="GD85" s="965"/>
      <c r="GE85" s="965"/>
      <c r="GF85" s="965"/>
      <c r="GG85" s="965"/>
      <c r="GH85" s="965"/>
      <c r="GI85" s="965"/>
      <c r="GJ85" s="965"/>
      <c r="GK85" s="965"/>
      <c r="GL85" s="965"/>
      <c r="GM85" s="965"/>
      <c r="GN85" s="965"/>
      <c r="GO85" s="965"/>
      <c r="GP85" s="965"/>
      <c r="GQ85" s="965"/>
      <c r="GR85" s="965"/>
      <c r="GS85" s="965"/>
      <c r="GT85" s="965"/>
      <c r="GU85" s="965"/>
      <c r="GV85" s="965"/>
      <c r="GW85" s="965"/>
      <c r="GX85" s="965"/>
      <c r="GY85" s="965"/>
      <c r="GZ85" s="965"/>
      <c r="HA85" s="965"/>
      <c r="HB85" s="965"/>
      <c r="HC85" s="965"/>
      <c r="HD85" s="965"/>
      <c r="HE85" s="965"/>
      <c r="HF85" s="965"/>
      <c r="HG85" s="965"/>
      <c r="HH85" s="965"/>
      <c r="HI85" s="965"/>
      <c r="HJ85" s="965"/>
      <c r="HK85" s="965"/>
      <c r="HL85" s="965"/>
      <c r="HM85" s="965"/>
      <c r="HN85" s="965"/>
      <c r="HO85" s="965"/>
      <c r="HP85" s="965"/>
      <c r="HQ85" s="965"/>
      <c r="HR85" s="965"/>
      <c r="HS85" s="965"/>
      <c r="HT85" s="965"/>
      <c r="HU85" s="965"/>
      <c r="HV85" s="965"/>
      <c r="HW85" s="965"/>
      <c r="HX85" s="965"/>
      <c r="HY85" s="965"/>
      <c r="HZ85" s="965"/>
      <c r="IA85" s="965"/>
      <c r="IB85" s="965"/>
      <c r="IC85" s="965"/>
      <c r="ID85" s="965"/>
      <c r="IE85" s="965"/>
      <c r="IF85" s="965"/>
      <c r="IG85" s="965"/>
      <c r="IH85" s="965"/>
      <c r="II85" s="965"/>
      <c r="IJ85" s="965"/>
      <c r="IK85" s="965"/>
      <c r="IL85" s="965"/>
      <c r="IM85" s="965"/>
      <c r="IN85" s="965"/>
      <c r="IO85" s="965"/>
      <c r="IP85" s="965"/>
      <c r="IQ85" s="965"/>
      <c r="IR85" s="965"/>
      <c r="IS85" s="965"/>
      <c r="IT85" s="965"/>
      <c r="IU85" s="965"/>
      <c r="IV85" s="965"/>
      <c r="IW85" s="965"/>
    </row>
    <row r="86" customFormat="false" ht="12.75" hidden="false" customHeight="false" outlineLevel="0" collapsed="false">
      <c r="A86" s="964" t="s">
        <v>926</v>
      </c>
      <c r="B86" s="964"/>
      <c r="C86" s="964"/>
      <c r="D86" s="965"/>
      <c r="E86" s="965"/>
      <c r="F86" s="966" t="n">
        <f aca="false">AVERAGE(J86:W86)</f>
        <v>1.2843490969258</v>
      </c>
      <c r="G86" s="965" t="s">
        <v>925</v>
      </c>
      <c r="H86" s="965" t="s">
        <v>925</v>
      </c>
      <c r="I86" s="965" t="s">
        <v>925</v>
      </c>
      <c r="J86" s="965" t="n">
        <f aca="false">BS_IS!J41/'Debt Amort'!G14</f>
        <v>1.45386389562447</v>
      </c>
      <c r="K86" s="965" t="n">
        <f aca="false">BS_IS!K41/'Debt Amort'!H14</f>
        <v>0.855663332021908</v>
      </c>
      <c r="L86" s="965" t="n">
        <f aca="false">BS_IS!L41/'Debt Amort'!I14</f>
        <v>0.756621821850049</v>
      </c>
      <c r="M86" s="965" t="n">
        <f aca="false">BS_IS!M41/'Debt Amort'!J14</f>
        <v>0.908056179857339</v>
      </c>
      <c r="N86" s="965" t="n">
        <f aca="false">BS_IS!N41/'Debt Amort'!K14</f>
        <v>0.8872856601356</v>
      </c>
      <c r="O86" s="965" t="n">
        <f aca="false">BS_IS!O41/'Debt Amort'!L14</f>
        <v>0.880790495114888</v>
      </c>
      <c r="P86" s="965" t="n">
        <f aca="false">BS_IS!P41/'Debt Amort'!M14</f>
        <v>0.914157577446067</v>
      </c>
      <c r="Q86" s="965" t="n">
        <f aca="false">BS_IS!Q41/'Debt Amort'!N14</f>
        <v>1.15509784579404</v>
      </c>
      <c r="R86" s="965" t="n">
        <f aca="false">BS_IS!R41/'Debt Amort'!O14</f>
        <v>1.55757957642134</v>
      </c>
      <c r="S86" s="965" t="n">
        <f aca="false">BS_IS!S41/'Debt Amort'!P14</f>
        <v>1.683960710409</v>
      </c>
      <c r="T86" s="965" t="n">
        <f aca="false">BS_IS!T41/'Debt Amort'!Q14</f>
        <v>1.64150270032567</v>
      </c>
      <c r="U86" s="965" t="n">
        <f aca="false">BS_IS!U41/'Debt Amort'!R14</f>
        <v>1.62904911383254</v>
      </c>
      <c r="V86" s="965" t="n">
        <f aca="false">BS_IS!V41/'Debt Amort'!S14</f>
        <v>1.66218569035066</v>
      </c>
      <c r="W86" s="965" t="n">
        <f aca="false">BS_IS!W41/'Debt Amort'!T14</f>
        <v>1.99507275777769</v>
      </c>
      <c r="X86" s="965" t="n">
        <f aca="false">BS_IS!X41/'Debt Amort'!U14</f>
        <v>3.16928542496293</v>
      </c>
      <c r="Y86" s="965" t="s">
        <v>925</v>
      </c>
      <c r="Z86" s="965" t="s">
        <v>925</v>
      </c>
      <c r="AA86" s="965" t="s">
        <v>925</v>
      </c>
      <c r="AB86" s="965" t="s">
        <v>925</v>
      </c>
      <c r="AC86" s="965"/>
      <c r="AD86" s="965"/>
      <c r="AE86" s="965"/>
      <c r="AF86" s="965"/>
      <c r="AG86" s="965"/>
      <c r="AH86" s="965"/>
      <c r="AI86" s="965"/>
      <c r="AJ86" s="965"/>
      <c r="AK86" s="965"/>
      <c r="AL86" s="965"/>
      <c r="AM86" s="965"/>
      <c r="AN86" s="965"/>
      <c r="AO86" s="965"/>
      <c r="AP86" s="965"/>
      <c r="AQ86" s="965"/>
      <c r="AR86" s="965"/>
      <c r="AS86" s="965"/>
      <c r="AT86" s="965"/>
      <c r="AU86" s="965"/>
      <c r="AV86" s="965"/>
      <c r="AW86" s="965"/>
      <c r="AX86" s="965"/>
      <c r="AY86" s="965"/>
      <c r="AZ86" s="965"/>
      <c r="BA86" s="965"/>
      <c r="BB86" s="965"/>
      <c r="BC86" s="965"/>
      <c r="BD86" s="965"/>
      <c r="BE86" s="965"/>
      <c r="BF86" s="965"/>
      <c r="BG86" s="965"/>
      <c r="BH86" s="965"/>
      <c r="BI86" s="965"/>
      <c r="BJ86" s="965"/>
      <c r="BK86" s="965"/>
      <c r="BL86" s="965"/>
      <c r="BM86" s="965"/>
      <c r="BN86" s="965"/>
      <c r="BO86" s="965"/>
      <c r="BP86" s="965"/>
      <c r="BQ86" s="965"/>
      <c r="BR86" s="965"/>
      <c r="BS86" s="965"/>
      <c r="BT86" s="965"/>
      <c r="BU86" s="965"/>
      <c r="BV86" s="965"/>
      <c r="BW86" s="965"/>
      <c r="BX86" s="965"/>
      <c r="BY86" s="965"/>
      <c r="BZ86" s="965"/>
      <c r="CA86" s="965"/>
      <c r="CB86" s="965"/>
      <c r="CC86" s="965"/>
      <c r="CD86" s="965"/>
      <c r="CE86" s="965"/>
      <c r="CF86" s="965"/>
      <c r="CG86" s="965"/>
      <c r="CH86" s="965"/>
      <c r="CI86" s="965"/>
      <c r="CJ86" s="965"/>
      <c r="CK86" s="965"/>
      <c r="CL86" s="965"/>
      <c r="CM86" s="965"/>
      <c r="CN86" s="965"/>
      <c r="CO86" s="965"/>
      <c r="CP86" s="965"/>
      <c r="CQ86" s="965"/>
      <c r="CR86" s="965"/>
      <c r="CS86" s="965"/>
      <c r="CT86" s="965"/>
      <c r="CU86" s="965"/>
      <c r="CV86" s="965"/>
      <c r="CW86" s="965"/>
      <c r="CX86" s="965"/>
      <c r="CY86" s="965"/>
      <c r="CZ86" s="965"/>
      <c r="DA86" s="965"/>
      <c r="DB86" s="965"/>
      <c r="DC86" s="965"/>
      <c r="DD86" s="965"/>
      <c r="DE86" s="965"/>
      <c r="DF86" s="965"/>
      <c r="DG86" s="965"/>
      <c r="DH86" s="965"/>
      <c r="DI86" s="965"/>
      <c r="DJ86" s="965"/>
      <c r="DK86" s="965"/>
      <c r="DL86" s="965"/>
      <c r="DM86" s="965"/>
      <c r="DN86" s="965"/>
      <c r="DO86" s="965"/>
      <c r="DP86" s="965"/>
      <c r="DQ86" s="965"/>
      <c r="DR86" s="965"/>
      <c r="DS86" s="965"/>
      <c r="DT86" s="965"/>
      <c r="DU86" s="965"/>
      <c r="DV86" s="965"/>
      <c r="DW86" s="965"/>
      <c r="DX86" s="965"/>
      <c r="DY86" s="965"/>
      <c r="DZ86" s="965"/>
      <c r="EA86" s="965"/>
      <c r="EB86" s="965"/>
      <c r="EC86" s="965"/>
      <c r="ED86" s="965"/>
      <c r="EE86" s="965"/>
      <c r="EF86" s="965"/>
      <c r="EG86" s="965"/>
      <c r="EH86" s="965"/>
      <c r="EI86" s="965"/>
      <c r="EJ86" s="965"/>
      <c r="EK86" s="965"/>
      <c r="EL86" s="965"/>
      <c r="EM86" s="965"/>
      <c r="EN86" s="965"/>
      <c r="EO86" s="965"/>
      <c r="EP86" s="965"/>
      <c r="EQ86" s="965"/>
      <c r="ER86" s="965"/>
      <c r="ES86" s="965"/>
      <c r="ET86" s="965"/>
      <c r="EU86" s="965"/>
      <c r="EV86" s="965"/>
      <c r="EW86" s="965"/>
      <c r="EX86" s="965"/>
      <c r="EY86" s="965"/>
      <c r="EZ86" s="965"/>
      <c r="FA86" s="965"/>
      <c r="FB86" s="965"/>
      <c r="FC86" s="965"/>
      <c r="FD86" s="965"/>
      <c r="FE86" s="965"/>
      <c r="FF86" s="965"/>
      <c r="FG86" s="965"/>
      <c r="FH86" s="965"/>
      <c r="FI86" s="965"/>
      <c r="FJ86" s="965"/>
      <c r="FK86" s="965"/>
      <c r="FL86" s="965"/>
      <c r="FM86" s="965"/>
      <c r="FN86" s="965"/>
      <c r="FO86" s="965"/>
      <c r="FP86" s="965"/>
      <c r="FQ86" s="965"/>
      <c r="FR86" s="965"/>
      <c r="FS86" s="965"/>
      <c r="FT86" s="965"/>
      <c r="FU86" s="965"/>
      <c r="FV86" s="965"/>
      <c r="FW86" s="965"/>
      <c r="FX86" s="965"/>
      <c r="FY86" s="965"/>
      <c r="FZ86" s="965"/>
      <c r="GA86" s="965"/>
      <c r="GB86" s="965"/>
      <c r="GC86" s="965"/>
      <c r="GD86" s="965"/>
      <c r="GE86" s="965"/>
      <c r="GF86" s="965"/>
      <c r="GG86" s="965"/>
      <c r="GH86" s="965"/>
      <c r="GI86" s="965"/>
      <c r="GJ86" s="965"/>
      <c r="GK86" s="965"/>
      <c r="GL86" s="965"/>
      <c r="GM86" s="965"/>
      <c r="GN86" s="965"/>
      <c r="GO86" s="965"/>
      <c r="GP86" s="965"/>
      <c r="GQ86" s="965"/>
      <c r="GR86" s="965"/>
      <c r="GS86" s="965"/>
      <c r="GT86" s="965"/>
      <c r="GU86" s="965"/>
      <c r="GV86" s="965"/>
      <c r="GW86" s="965"/>
      <c r="GX86" s="965"/>
      <c r="GY86" s="965"/>
      <c r="GZ86" s="965"/>
      <c r="HA86" s="965"/>
      <c r="HB86" s="965"/>
      <c r="HC86" s="965"/>
      <c r="HD86" s="965"/>
      <c r="HE86" s="965"/>
      <c r="HF86" s="965"/>
      <c r="HG86" s="965"/>
      <c r="HH86" s="965"/>
      <c r="HI86" s="965"/>
      <c r="HJ86" s="965"/>
      <c r="HK86" s="965"/>
      <c r="HL86" s="965"/>
      <c r="HM86" s="965"/>
      <c r="HN86" s="965"/>
      <c r="HO86" s="965"/>
      <c r="HP86" s="965"/>
      <c r="HQ86" s="965"/>
      <c r="HR86" s="965"/>
      <c r="HS86" s="965"/>
      <c r="HT86" s="965"/>
      <c r="HU86" s="965"/>
      <c r="HV86" s="965"/>
      <c r="HW86" s="965"/>
      <c r="HX86" s="965"/>
      <c r="HY86" s="965"/>
      <c r="HZ86" s="965"/>
      <c r="IA86" s="965"/>
      <c r="IB86" s="965"/>
      <c r="IC86" s="965"/>
      <c r="ID86" s="965"/>
      <c r="IE86" s="965"/>
      <c r="IF86" s="965"/>
      <c r="IG86" s="965"/>
      <c r="IH86" s="965"/>
      <c r="II86" s="965"/>
      <c r="IJ86" s="965"/>
      <c r="IK86" s="965"/>
      <c r="IL86" s="965"/>
      <c r="IM86" s="965"/>
      <c r="IN86" s="965"/>
      <c r="IO86" s="965"/>
      <c r="IP86" s="965"/>
      <c r="IQ86" s="965"/>
      <c r="IR86" s="965"/>
      <c r="IS86" s="965"/>
      <c r="IT86" s="965"/>
      <c r="IU86" s="965"/>
      <c r="IV86" s="965"/>
      <c r="IW86" s="965"/>
    </row>
    <row r="87" customFormat="false" ht="12.75" hidden="false" customHeight="false" outlineLevel="0" collapsed="false">
      <c r="A87" s="352"/>
      <c r="B87" s="352"/>
      <c r="C87" s="352"/>
      <c r="D87" s="958"/>
      <c r="E87" s="958"/>
      <c r="F87" s="958"/>
      <c r="G87" s="958"/>
      <c r="H87" s="969"/>
      <c r="I87" s="962"/>
      <c r="J87" s="962"/>
      <c r="K87" s="962"/>
      <c r="L87" s="962"/>
      <c r="M87" s="962"/>
      <c r="N87" s="962"/>
      <c r="O87" s="962"/>
      <c r="P87" s="962"/>
      <c r="Q87" s="962"/>
      <c r="R87" s="962"/>
      <c r="S87" s="962"/>
      <c r="T87" s="962"/>
      <c r="U87" s="962"/>
      <c r="V87" s="962"/>
      <c r="W87" s="962"/>
      <c r="X87" s="962"/>
      <c r="Y87" s="962"/>
      <c r="Z87" s="962"/>
      <c r="AA87" s="962"/>
      <c r="AB87" s="962"/>
      <c r="AC87" s="958"/>
      <c r="AD87" s="958"/>
      <c r="AE87" s="958"/>
      <c r="AF87" s="958"/>
      <c r="AG87" s="958"/>
      <c r="AH87" s="958"/>
      <c r="AI87" s="958"/>
      <c r="AJ87" s="958"/>
      <c r="AK87" s="958"/>
      <c r="AL87" s="958"/>
      <c r="AM87" s="958"/>
      <c r="AN87" s="958"/>
      <c r="AO87" s="958"/>
      <c r="AP87" s="958"/>
      <c r="AQ87" s="958"/>
      <c r="AR87" s="958"/>
      <c r="AS87" s="958"/>
      <c r="AT87" s="958"/>
      <c r="AU87" s="958"/>
      <c r="AV87" s="958"/>
      <c r="AW87" s="958"/>
      <c r="AX87" s="958"/>
      <c r="AY87" s="958"/>
      <c r="AZ87" s="958"/>
    </row>
    <row r="88" customFormat="false" ht="12.75" hidden="false" customHeight="false" outlineLevel="0" collapsed="false">
      <c r="A88" s="352"/>
      <c r="B88" s="352"/>
      <c r="C88" s="352"/>
      <c r="D88" s="958"/>
      <c r="E88" s="958"/>
      <c r="F88" s="958"/>
      <c r="G88" s="958"/>
      <c r="H88" s="962"/>
      <c r="I88" s="962"/>
      <c r="J88" s="962"/>
      <c r="K88" s="962"/>
      <c r="L88" s="962"/>
      <c r="M88" s="962"/>
      <c r="N88" s="962"/>
      <c r="O88" s="962"/>
      <c r="P88" s="962"/>
      <c r="Q88" s="962"/>
      <c r="R88" s="962"/>
      <c r="S88" s="962"/>
      <c r="T88" s="962"/>
      <c r="U88" s="962"/>
      <c r="V88" s="962"/>
      <c r="W88" s="962"/>
      <c r="X88" s="962"/>
      <c r="Y88" s="962"/>
      <c r="Z88" s="962"/>
      <c r="AA88" s="962"/>
      <c r="AB88" s="962"/>
      <c r="AC88" s="958"/>
      <c r="AD88" s="958"/>
      <c r="AE88" s="958"/>
      <c r="AF88" s="958"/>
      <c r="AG88" s="958"/>
      <c r="AH88" s="958"/>
      <c r="AI88" s="958"/>
      <c r="AJ88" s="958"/>
      <c r="AK88" s="958"/>
      <c r="AL88" s="958"/>
      <c r="AM88" s="958"/>
      <c r="AN88" s="958"/>
      <c r="AO88" s="958"/>
      <c r="AP88" s="958"/>
      <c r="AQ88" s="958"/>
      <c r="AR88" s="958"/>
      <c r="AS88" s="958"/>
      <c r="AT88" s="958"/>
      <c r="AU88" s="958"/>
      <c r="AV88" s="958"/>
      <c r="AW88" s="958"/>
      <c r="AX88" s="958"/>
      <c r="AY88" s="958"/>
      <c r="AZ88" s="958"/>
    </row>
    <row r="89" customFormat="false" ht="12.75" hidden="false" customHeight="false" outlineLevel="0" collapsed="false">
      <c r="F89" s="781"/>
      <c r="G89" s="781"/>
    </row>
    <row r="90" customFormat="false" ht="12.75" hidden="false" customHeight="false" outlineLevel="0" collapsed="false">
      <c r="F90" s="781"/>
      <c r="G90" s="7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false" showRowColHeaders="true" showZeros="true" rightToLeft="false" tabSelected="false" showOutlineSymbols="true" defaultGridColor="true" view="normal" topLeftCell="A15" colorId="64" zoomScale="75" zoomScaleNormal="75" zoomScalePageLayoutView="100" workbookViewId="0">
      <selection pane="topLeft" activeCell="A15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39" width="2.7"/>
    <col collapsed="false" customWidth="false" hidden="false" outlineLevel="0" max="3" min="3" style="39" width="9.14"/>
    <col collapsed="false" customWidth="true" hidden="false" outlineLevel="0" max="4" min="4" style="1" width="14.14"/>
    <col collapsed="false" customWidth="true" hidden="false" outlineLevel="0" max="5" min="5" style="1" width="8.41"/>
    <col collapsed="false" customWidth="true" hidden="false" outlineLevel="0" max="28" min="6" style="1" width="10.71"/>
    <col collapsed="false" customWidth="true" hidden="false" outlineLevel="0" max="29" min="29" style="39" width="10.71"/>
    <col collapsed="false" customWidth="false" hidden="false" outlineLevel="0" max="257" min="3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16"/>
      <c r="D1" s="351"/>
      <c r="E1" s="469"/>
      <c r="F1" s="15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108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16"/>
      <c r="D2" s="351"/>
      <c r="E2" s="469"/>
      <c r="F2" s="15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108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469"/>
      <c r="F3" s="15"/>
      <c r="G3" s="469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108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927</v>
      </c>
      <c r="B4" s="21"/>
      <c r="C4" s="970"/>
      <c r="D4" s="21"/>
      <c r="E4" s="971"/>
      <c r="F4" s="15"/>
      <c r="G4" s="469"/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72"/>
      <c r="Z4" s="472"/>
      <c r="AA4" s="472"/>
      <c r="AB4" s="472"/>
      <c r="AC4" s="108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352"/>
      <c r="AE5" s="540" t="s">
        <v>319</v>
      </c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/>
      <c r="B6" s="26"/>
      <c r="C6" s="26"/>
      <c r="D6" s="26"/>
      <c r="E6" s="26"/>
      <c r="F6" s="119" t="s">
        <v>868</v>
      </c>
      <c r="G6" s="286" t="n">
        <v>0</v>
      </c>
      <c r="H6" s="26" t="n">
        <f aca="false">IF(H$7&lt;YEAR(Startops1),0,G$6+1)</f>
        <v>0</v>
      </c>
      <c r="I6" s="26" t="n">
        <f aca="false">IF(I$7&lt;YEAR(Startops1),0,H$6+1)</f>
        <v>0</v>
      </c>
      <c r="J6" s="26" t="n">
        <f aca="false">IF(J$7&lt;YEAR(Startops1),0,I$6+1)</f>
        <v>1</v>
      </c>
      <c r="K6" s="26" t="n">
        <f aca="false">IF(K$7&lt;YEAR(Startops1),0,J$6+1)</f>
        <v>2</v>
      </c>
      <c r="L6" s="26" t="n">
        <f aca="false">IF(L$7&lt;YEAR(Startops1),0,K$6+1)</f>
        <v>3</v>
      </c>
      <c r="M6" s="26" t="n">
        <f aca="false">IF(M$7&lt;YEAR(Startops1),0,L$6+1)</f>
        <v>4</v>
      </c>
      <c r="N6" s="26" t="n">
        <f aca="false">IF(N$7&lt;YEAR(Startops1),0,M$6+1)</f>
        <v>5</v>
      </c>
      <c r="O6" s="26" t="n">
        <f aca="false">IF(O$7&lt;YEAR(Startops1),0,N$6+1)</f>
        <v>6</v>
      </c>
      <c r="P6" s="26" t="n">
        <f aca="false">IF(P$7&lt;YEAR(Startops1),0,O$6+1)</f>
        <v>7</v>
      </c>
      <c r="Q6" s="26" t="n">
        <f aca="false">IF(Q$7&lt;YEAR(Startops1),0,P$6+1)</f>
        <v>8</v>
      </c>
      <c r="R6" s="26" t="n">
        <f aca="false">IF(R$7&lt;YEAR(Startops1),0,Q$6+1)</f>
        <v>9</v>
      </c>
      <c r="S6" s="26" t="n">
        <f aca="false">IF(S$7&lt;YEAR(Startops1),0,R$6+1)</f>
        <v>10</v>
      </c>
      <c r="T6" s="26" t="n">
        <f aca="false">IF(T$7&lt;YEAR(Startops1),0,S$6+1)</f>
        <v>11</v>
      </c>
      <c r="U6" s="26" t="n">
        <f aca="false">IF(U$7&lt;YEAR(Startops1),0,T$6+1)</f>
        <v>12</v>
      </c>
      <c r="V6" s="26" t="n">
        <f aca="false">IF(V$7&lt;YEAR(Startops1),0,U$6+1)</f>
        <v>13</v>
      </c>
      <c r="W6" s="26" t="n">
        <f aca="false">IF(W$7&lt;YEAR(Startops1),0,V$6+1)</f>
        <v>14</v>
      </c>
      <c r="X6" s="26" t="n">
        <f aca="false">IF(X$7&lt;YEAR(Startops1),0,W$6+1)</f>
        <v>15</v>
      </c>
      <c r="Y6" s="26" t="n">
        <f aca="false">IF(Y$7&lt;YEAR(Startops1),0,X$6+1)</f>
        <v>16</v>
      </c>
      <c r="Z6" s="26" t="n">
        <f aca="false">IF(Z$7&lt;YEAR(Startops1),0,Y$6+1)</f>
        <v>17</v>
      </c>
      <c r="AA6" s="26" t="n">
        <f aca="false">IF(AA$7&lt;YEAR(Startops1),0,Z$6+1)</f>
        <v>18</v>
      </c>
      <c r="AB6" s="26" t="n">
        <f aca="false">IF(AB$7&lt;YEAR(Startops1),0,AA$6+1)</f>
        <v>19</v>
      </c>
      <c r="AC6" s="287"/>
      <c r="AE6" s="972" t="s">
        <v>869</v>
      </c>
    </row>
    <row r="7" customFormat="false" ht="13.5" hidden="false" customHeight="false" outlineLevel="0" collapsed="false">
      <c r="A7" s="950" t="s">
        <v>870</v>
      </c>
      <c r="B7" s="951"/>
      <c r="C7" s="951"/>
      <c r="D7" s="22"/>
      <c r="E7" s="22"/>
      <c r="F7" s="217" t="s">
        <v>871</v>
      </c>
      <c r="G7" s="360" t="n">
        <v>1998</v>
      </c>
      <c r="H7" s="50" t="n">
        <f aca="false">G7+1</f>
        <v>1999</v>
      </c>
      <c r="I7" s="50" t="n">
        <f aca="false">H7+1</f>
        <v>2000</v>
      </c>
      <c r="J7" s="50" t="n">
        <f aca="false">I7+1</f>
        <v>2001</v>
      </c>
      <c r="K7" s="50" t="n">
        <f aca="false">J7+1</f>
        <v>2002</v>
      </c>
      <c r="L7" s="50" t="n">
        <f aca="false">K7+1</f>
        <v>2003</v>
      </c>
      <c r="M7" s="50" t="n">
        <f aca="false">L7+1</f>
        <v>2004</v>
      </c>
      <c r="N7" s="50" t="n">
        <f aca="false">M7+1</f>
        <v>2005</v>
      </c>
      <c r="O7" s="50" t="n">
        <f aca="false">N7+1</f>
        <v>2006</v>
      </c>
      <c r="P7" s="50" t="n">
        <f aca="false">O7+1</f>
        <v>2007</v>
      </c>
      <c r="Q7" s="50" t="n">
        <f aca="false">P7+1</f>
        <v>2008</v>
      </c>
      <c r="R7" s="50" t="n">
        <f aca="false">Q7+1</f>
        <v>2009</v>
      </c>
      <c r="S7" s="50" t="n">
        <f aca="false">R7+1</f>
        <v>2010</v>
      </c>
      <c r="T7" s="50" t="n">
        <f aca="false">S7+1</f>
        <v>2011</v>
      </c>
      <c r="U7" s="50" t="n">
        <f aca="false">T7+1</f>
        <v>2012</v>
      </c>
      <c r="V7" s="50" t="n">
        <f aca="false">U7+1</f>
        <v>2013</v>
      </c>
      <c r="W7" s="50" t="n">
        <f aca="false">V7+1</f>
        <v>2014</v>
      </c>
      <c r="X7" s="50" t="n">
        <f aca="false">W7+1</f>
        <v>2015</v>
      </c>
      <c r="Y7" s="50" t="n">
        <f aca="false">X7+1</f>
        <v>2016</v>
      </c>
      <c r="Z7" s="50" t="n">
        <f aca="false">Y7+1</f>
        <v>2017</v>
      </c>
      <c r="AA7" s="50" t="n">
        <f aca="false">Z7+1</f>
        <v>2018</v>
      </c>
      <c r="AB7" s="50" t="n">
        <f aca="false">AA7+1</f>
        <v>2019</v>
      </c>
      <c r="AC7" s="293" t="s">
        <v>323</v>
      </c>
      <c r="AE7" s="973" t="n">
        <v>1</v>
      </c>
    </row>
    <row r="8" customFormat="false" ht="12.75" hidden="false" customHeight="false" outlineLevel="0" collapsed="false">
      <c r="A8" s="34" t="s">
        <v>872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298"/>
      <c r="AE8" s="874" t="n">
        <f aca="false">AE7+1</f>
        <v>2</v>
      </c>
    </row>
    <row r="9" customFormat="false" ht="12.75" hidden="false" customHeight="false" outlineLevel="0" collapsed="false">
      <c r="A9" s="37"/>
      <c r="B9" s="39" t="s">
        <v>873</v>
      </c>
      <c r="D9" s="39"/>
      <c r="E9" s="39"/>
      <c r="F9" s="98" t="n">
        <v>0</v>
      </c>
      <c r="G9" s="61" t="n">
        <f aca="false">G89</f>
        <v>0</v>
      </c>
      <c r="H9" s="61" t="n">
        <f aca="false">H89</f>
        <v>0</v>
      </c>
      <c r="I9" s="61" t="n">
        <f aca="false">I89</f>
        <v>0</v>
      </c>
      <c r="J9" s="61" t="n">
        <f aca="false">J89</f>
        <v>0</v>
      </c>
      <c r="K9" s="61" t="n">
        <f aca="false">K89</f>
        <v>0</v>
      </c>
      <c r="L9" s="61" t="n">
        <f aca="false">L89</f>
        <v>0</v>
      </c>
      <c r="M9" s="61" t="n">
        <f aca="false">M89</f>
        <v>0</v>
      </c>
      <c r="N9" s="61" t="n">
        <f aca="false">N89</f>
        <v>0</v>
      </c>
      <c r="O9" s="61" t="n">
        <f aca="false">O89</f>
        <v>0</v>
      </c>
      <c r="P9" s="61" t="n">
        <f aca="false">P89</f>
        <v>0</v>
      </c>
      <c r="Q9" s="61" t="n">
        <f aca="false">Q89</f>
        <v>0</v>
      </c>
      <c r="R9" s="61" t="n">
        <f aca="false">R89</f>
        <v>0</v>
      </c>
      <c r="S9" s="61" t="n">
        <f aca="false">S89</f>
        <v>0</v>
      </c>
      <c r="T9" s="61" t="n">
        <f aca="false">T89</f>
        <v>0</v>
      </c>
      <c r="U9" s="61" t="n">
        <f aca="false">U89</f>
        <v>0</v>
      </c>
      <c r="V9" s="61" t="n">
        <f aca="false">V89</f>
        <v>0</v>
      </c>
      <c r="W9" s="61" t="n">
        <f aca="false">W89</f>
        <v>0</v>
      </c>
      <c r="X9" s="61" t="n">
        <f aca="false">X89</f>
        <v>0</v>
      </c>
      <c r="Y9" s="61" t="n">
        <f aca="false">Y89</f>
        <v>0</v>
      </c>
      <c r="Z9" s="61" t="n">
        <f aca="false">Z89</f>
        <v>0</v>
      </c>
      <c r="AA9" s="61" t="n">
        <f aca="false">AA89</f>
        <v>0</v>
      </c>
      <c r="AB9" s="61" t="n">
        <f aca="false">AB89</f>
        <v>0</v>
      </c>
      <c r="AC9" s="304"/>
      <c r="AE9" s="874" t="n">
        <f aca="false">AE8+1</f>
        <v>3</v>
      </c>
    </row>
    <row r="10" customFormat="false" ht="12.75" hidden="false" customHeight="false" outlineLevel="0" collapsed="false">
      <c r="A10" s="37"/>
      <c r="B10" s="39" t="s">
        <v>928</v>
      </c>
      <c r="D10" s="39"/>
      <c r="E10" s="39"/>
      <c r="F10" s="98" t="n">
        <v>0</v>
      </c>
      <c r="G10" s="61" t="n">
        <f aca="false">-SUM($G72:G72)</f>
        <v>-0</v>
      </c>
      <c r="H10" s="61" t="n">
        <f aca="false">-SUM($G72:H72)</f>
        <v>-0</v>
      </c>
      <c r="I10" s="61" t="n">
        <f aca="false">-SUM($G72:I72)</f>
        <v>-0</v>
      </c>
      <c r="J10" s="61" t="n">
        <f aca="false">-SUM($G72:J72)</f>
        <v>146</v>
      </c>
      <c r="K10" s="61" t="n">
        <f aca="false">-SUM($G72:K72)</f>
        <v>146</v>
      </c>
      <c r="L10" s="61" t="n">
        <f aca="false">-SUM($G72:L72)</f>
        <v>146</v>
      </c>
      <c r="M10" s="61" t="n">
        <f aca="false">-SUM($G72:M72)</f>
        <v>146</v>
      </c>
      <c r="N10" s="61" t="n">
        <f aca="false">-SUM($G72:N72)</f>
        <v>146</v>
      </c>
      <c r="O10" s="61" t="n">
        <f aca="false">-SUM($G72:O72)</f>
        <v>146</v>
      </c>
      <c r="P10" s="61" t="n">
        <f aca="false">-SUM($G72:P72)</f>
        <v>146</v>
      </c>
      <c r="Q10" s="61" t="n">
        <f aca="false">-SUM($G72:Q72)</f>
        <v>146</v>
      </c>
      <c r="R10" s="61" t="n">
        <f aca="false">-SUM($G72:R72)</f>
        <v>146</v>
      </c>
      <c r="S10" s="61" t="n">
        <f aca="false">-SUM($G72:S72)</f>
        <v>146</v>
      </c>
      <c r="T10" s="61" t="n">
        <f aca="false">-SUM($G72:T72)</f>
        <v>146</v>
      </c>
      <c r="U10" s="61" t="n">
        <f aca="false">-SUM($G72:U72)</f>
        <v>146</v>
      </c>
      <c r="V10" s="61" t="n">
        <f aca="false">-SUM($G72:V72)</f>
        <v>146</v>
      </c>
      <c r="W10" s="61" t="n">
        <f aca="false">-SUM($G72:W72)</f>
        <v>146</v>
      </c>
      <c r="X10" s="61" t="n">
        <f aca="false">-SUM($G72:X72)</f>
        <v>146</v>
      </c>
      <c r="Y10" s="61" t="n">
        <f aca="false">-SUM($G72:Y72)</f>
        <v>146</v>
      </c>
      <c r="Z10" s="61" t="n">
        <f aca="false">-SUM($G72:Z72)</f>
        <v>146</v>
      </c>
      <c r="AA10" s="61" t="n">
        <f aca="false">-SUM($G72:AA72)</f>
        <v>146</v>
      </c>
      <c r="AB10" s="61" t="n">
        <f aca="false">-SUM($G72:AB72)</f>
        <v>146</v>
      </c>
      <c r="AC10" s="304"/>
      <c r="AE10" s="874" t="n">
        <f aca="false">AE9+1</f>
        <v>4</v>
      </c>
    </row>
    <row r="11" customFormat="false" ht="12.75" hidden="false" customHeight="false" outlineLevel="0" collapsed="false">
      <c r="A11" s="37"/>
      <c r="B11" s="39" t="s">
        <v>929</v>
      </c>
      <c r="D11" s="39"/>
      <c r="E11" s="39"/>
      <c r="F11" s="98" t="n">
        <v>0</v>
      </c>
      <c r="G11" s="61" t="n">
        <f aca="false">-SUM($G73:G74)</f>
        <v>-0</v>
      </c>
      <c r="H11" s="61" t="n">
        <f aca="false">-SUM($G73:H74)</f>
        <v>-0</v>
      </c>
      <c r="I11" s="61" t="n">
        <f aca="false">-SUM($G73:I74)</f>
        <v>-0</v>
      </c>
      <c r="J11" s="61" t="n">
        <f aca="false">-SUM($G73:J74)</f>
        <v>417.210678711196</v>
      </c>
      <c r="K11" s="61" t="n">
        <f aca="false">-SUM($G73:K74)</f>
        <v>-4676.09415107926</v>
      </c>
      <c r="L11" s="61" t="n">
        <f aca="false">-SUM($G73:L74)</f>
        <v>-10864.2335286426</v>
      </c>
      <c r="M11" s="61" t="n">
        <f aca="false">-SUM($G73:M74)</f>
        <v>-15813.4341299119</v>
      </c>
      <c r="N11" s="61" t="n">
        <f aca="false">-SUM($G73:N74)</f>
        <v>-21132.8370256454</v>
      </c>
      <c r="O11" s="61" t="n">
        <f aca="false">-SUM($G73:O74)</f>
        <v>-26560.4486231395</v>
      </c>
      <c r="P11" s="61" t="n">
        <f aca="false">-SUM($G73:P74)</f>
        <v>-31610.7368694332</v>
      </c>
      <c r="Q11" s="61" t="n">
        <f aca="false">-SUM($G73:Q74)</f>
        <v>-33404.6421756175</v>
      </c>
      <c r="R11" s="61" t="n">
        <f aca="false">-SUM($G73:R74)</f>
        <v>-32502.7801061717</v>
      </c>
      <c r="S11" s="61" t="n">
        <f aca="false">-SUM($G73:S74)</f>
        <v>-31103.9402073406</v>
      </c>
      <c r="T11" s="61" t="n">
        <f aca="false">-SUM($G73:T74)</f>
        <v>-30065.5610388681</v>
      </c>
      <c r="U11" s="61" t="n">
        <f aca="false">-SUM($G73:U74)</f>
        <v>-29363.8493826439</v>
      </c>
      <c r="V11" s="61" t="n">
        <f aca="false">-SUM($G73:V74)</f>
        <v>-25399.7720763136</v>
      </c>
      <c r="W11" s="61" t="n">
        <f aca="false">-SUM($G73:W74)</f>
        <v>-20218.7767557272</v>
      </c>
      <c r="X11" s="61" t="n">
        <f aca="false">-SUM($G73:X74)</f>
        <v>-12413.6702956259</v>
      </c>
      <c r="Y11" s="61" t="n">
        <f aca="false">-SUM($G73:Y74)</f>
        <v>627.090600496213</v>
      </c>
      <c r="Z11" s="61" t="n">
        <f aca="false">-SUM($G73:Z74)</f>
        <v>9844.21632092313</v>
      </c>
      <c r="AA11" s="61" t="n">
        <f aca="false">-SUM($G73:AA74)</f>
        <v>16164.8165531078</v>
      </c>
      <c r="AB11" s="61" t="n">
        <f aca="false">-SUM($G73:AB74)</f>
        <v>-0</v>
      </c>
      <c r="AC11" s="304"/>
      <c r="AE11" s="874" t="n">
        <f aca="false">AE10+1</f>
        <v>5</v>
      </c>
    </row>
    <row r="12" customFormat="false" ht="12.75" hidden="false" customHeight="false" outlineLevel="0" collapsed="false">
      <c r="A12" s="37"/>
      <c r="B12" s="39" t="s">
        <v>876</v>
      </c>
      <c r="D12" s="39"/>
      <c r="E12" s="39"/>
      <c r="F12" s="974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304"/>
      <c r="AE12" s="874" t="n">
        <f aca="false">AE11+1</f>
        <v>6</v>
      </c>
    </row>
    <row r="13" customFormat="false" ht="12.75" hidden="false" customHeight="false" outlineLevel="0" collapsed="false">
      <c r="A13" s="37"/>
      <c r="C13" s="39" t="s">
        <v>877</v>
      </c>
      <c r="D13" s="39"/>
      <c r="E13" s="39"/>
      <c r="F13" s="98" t="n">
        <v>0</v>
      </c>
      <c r="G13" s="61" t="n">
        <f aca="false">-SUM($G71:G71)</f>
        <v>6637.97008564951</v>
      </c>
      <c r="H13" s="61" t="n">
        <f aca="false">-SUM($G71:H71)</f>
        <v>56348.7309319639</v>
      </c>
      <c r="I13" s="61" t="n">
        <f aca="false">-SUM($G71:I71)</f>
        <v>124644.759668103</v>
      </c>
      <c r="J13" s="61" t="n">
        <f aca="false">-SUM($G71:J71)</f>
        <v>126412.004643692</v>
      </c>
      <c r="K13" s="61" t="n">
        <f aca="false">-SUM($G71:K71)</f>
        <v>126412.004643692</v>
      </c>
      <c r="L13" s="61" t="n">
        <f aca="false">-SUM($G71:L71)</f>
        <v>126412.004643692</v>
      </c>
      <c r="M13" s="61" t="n">
        <f aca="false">-SUM($G71:M71)</f>
        <v>126412.004643692</v>
      </c>
      <c r="N13" s="61" t="n">
        <f aca="false">-SUM($G71:N71)</f>
        <v>126412.004643692</v>
      </c>
      <c r="O13" s="61" t="n">
        <f aca="false">-SUM($G71:O71)</f>
        <v>126412.004643692</v>
      </c>
      <c r="P13" s="61" t="n">
        <f aca="false">-SUM($G71:P71)</f>
        <v>126412.004643692</v>
      </c>
      <c r="Q13" s="61" t="n">
        <f aca="false">-SUM($G71:Q71)</f>
        <v>126412.004643692</v>
      </c>
      <c r="R13" s="61" t="n">
        <f aca="false">-SUM($G71:R71)</f>
        <v>126412.004643692</v>
      </c>
      <c r="S13" s="61" t="n">
        <f aca="false">-SUM($G71:S71)</f>
        <v>126412.004643692</v>
      </c>
      <c r="T13" s="61" t="n">
        <f aca="false">-SUM($G71:T71)</f>
        <v>126412.004643692</v>
      </c>
      <c r="U13" s="61" t="n">
        <f aca="false">-SUM($G71:U71)</f>
        <v>126412.004643692</v>
      </c>
      <c r="V13" s="61" t="n">
        <f aca="false">-SUM($G71:V71)</f>
        <v>126412.004643692</v>
      </c>
      <c r="W13" s="61" t="n">
        <f aca="false">-SUM($G71:W71)</f>
        <v>126412.004643692</v>
      </c>
      <c r="X13" s="61" t="n">
        <f aca="false">-SUM($G71:X71)</f>
        <v>126412.004643692</v>
      </c>
      <c r="Y13" s="61" t="n">
        <f aca="false">-SUM($G71:Y71)</f>
        <v>126412.004643692</v>
      </c>
      <c r="Z13" s="61" t="n">
        <f aca="false">-SUM($G71:Z71)</f>
        <v>126412.004643692</v>
      </c>
      <c r="AA13" s="61" t="n">
        <f aca="false">-SUM($G71:AA71)</f>
        <v>126412.004643692</v>
      </c>
      <c r="AB13" s="61" t="n">
        <f aca="false">-SUM($G71:AB71)</f>
        <v>126412.004643692</v>
      </c>
      <c r="AC13" s="304"/>
      <c r="AE13" s="874" t="n">
        <f aca="false">AE12+1</f>
        <v>7</v>
      </c>
    </row>
    <row r="14" customFormat="false" ht="12.75" hidden="false" customHeight="false" outlineLevel="0" collapsed="false">
      <c r="A14" s="37"/>
      <c r="C14" s="39" t="s">
        <v>878</v>
      </c>
      <c r="D14" s="39"/>
      <c r="E14" s="39"/>
      <c r="F14" s="617" t="n">
        <v>0</v>
      </c>
      <c r="G14" s="306" t="n">
        <f aca="false">SUM($G43:G43)</f>
        <v>0</v>
      </c>
      <c r="H14" s="306" t="n">
        <f aca="false">SUM($G43:H43)</f>
        <v>0</v>
      </c>
      <c r="I14" s="306" t="n">
        <f aca="false">SUM($G43:I43)</f>
        <v>0</v>
      </c>
      <c r="J14" s="306" t="n">
        <f aca="false">SUM($G43:J43)</f>
        <v>-5267.16686015385</v>
      </c>
      <c r="K14" s="306" t="n">
        <f aca="false">SUM($G43:K43)</f>
        <v>-11587.7670923385</v>
      </c>
      <c r="L14" s="306" t="n">
        <f aca="false">SUM($G43:L43)</f>
        <v>-17908.3673245231</v>
      </c>
      <c r="M14" s="306" t="n">
        <f aca="false">SUM($G43:M43)</f>
        <v>-24228.9675567077</v>
      </c>
      <c r="N14" s="306" t="n">
        <f aca="false">SUM($G43:N43)</f>
        <v>-30549.5677888923</v>
      </c>
      <c r="O14" s="306" t="n">
        <f aca="false">SUM($G43:O43)</f>
        <v>-36870.168021077</v>
      </c>
      <c r="P14" s="306" t="n">
        <f aca="false">SUM($G43:P43)</f>
        <v>-43190.7682532616</v>
      </c>
      <c r="Q14" s="306" t="n">
        <f aca="false">SUM($G43:Q43)</f>
        <v>-49511.3684854462</v>
      </c>
      <c r="R14" s="306" t="n">
        <f aca="false">SUM($G43:R43)</f>
        <v>-55831.9687176308</v>
      </c>
      <c r="S14" s="306" t="n">
        <f aca="false">SUM($G43:S43)</f>
        <v>-62152.5689498155</v>
      </c>
      <c r="T14" s="306" t="n">
        <f aca="false">SUM($G43:T43)</f>
        <v>-68473.1691820001</v>
      </c>
      <c r="U14" s="306" t="n">
        <f aca="false">SUM($G43:U43)</f>
        <v>-74793.7694141847</v>
      </c>
      <c r="V14" s="306" t="n">
        <f aca="false">SUM($G43:V43)</f>
        <v>-81114.3696463693</v>
      </c>
      <c r="W14" s="306" t="n">
        <f aca="false">SUM($G43:W43)</f>
        <v>-87434.9698785539</v>
      </c>
      <c r="X14" s="306" t="n">
        <f aca="false">SUM($G43:X43)</f>
        <v>-93755.5701107386</v>
      </c>
      <c r="Y14" s="306" t="n">
        <f aca="false">SUM($G43:Y43)</f>
        <v>-100076.170342923</v>
      </c>
      <c r="Z14" s="306" t="n">
        <f aca="false">SUM($G43:Z43)</f>
        <v>-106396.770575108</v>
      </c>
      <c r="AA14" s="306" t="n">
        <f aca="false">SUM($G43:AA43)</f>
        <v>-112717.370807292</v>
      </c>
      <c r="AB14" s="306" t="n">
        <f aca="false">SUM($G43:AB43)</f>
        <v>-114824.237551354</v>
      </c>
      <c r="AC14" s="304"/>
      <c r="AE14" s="874" t="n">
        <f aca="false">AE13+1</f>
        <v>8</v>
      </c>
    </row>
    <row r="15" customFormat="false" ht="12.75" hidden="false" customHeight="false" outlineLevel="0" collapsed="false">
      <c r="A15" s="37"/>
      <c r="C15" s="39" t="s">
        <v>879</v>
      </c>
      <c r="D15" s="39"/>
      <c r="E15" s="39"/>
      <c r="F15" s="61" t="n">
        <f aca="false">SUM(F13:F14)</f>
        <v>0</v>
      </c>
      <c r="G15" s="61" t="n">
        <f aca="false">SUM(G13:G14)</f>
        <v>6637.97008564951</v>
      </c>
      <c r="H15" s="61" t="n">
        <f aca="false">SUM(H13:H14)</f>
        <v>56348.7309319639</v>
      </c>
      <c r="I15" s="61" t="n">
        <f aca="false">SUM(I13:I14)</f>
        <v>124644.759668103</v>
      </c>
      <c r="J15" s="61" t="n">
        <f aca="false">SUM(J13:J14)</f>
        <v>121144.837783539</v>
      </c>
      <c r="K15" s="61" t="n">
        <f aca="false">SUM(K13:K14)</f>
        <v>114824.237551354</v>
      </c>
      <c r="L15" s="61" t="n">
        <f aca="false">SUM(L13:L14)</f>
        <v>108503.637319169</v>
      </c>
      <c r="M15" s="61" t="n">
        <f aca="false">SUM(M13:M14)</f>
        <v>102183.037086985</v>
      </c>
      <c r="N15" s="61" t="n">
        <f aca="false">SUM(N13:N14)</f>
        <v>95862.4368548001</v>
      </c>
      <c r="O15" s="61" t="n">
        <f aca="false">SUM(O13:O14)</f>
        <v>89541.8366226155</v>
      </c>
      <c r="P15" s="61" t="n">
        <f aca="false">SUM(P13:P14)</f>
        <v>83221.2363904309</v>
      </c>
      <c r="Q15" s="61" t="n">
        <f aca="false">SUM(Q13:Q14)</f>
        <v>76900.6361582463</v>
      </c>
      <c r="R15" s="61" t="n">
        <f aca="false">SUM(R13:R14)</f>
        <v>70580.0359260616</v>
      </c>
      <c r="S15" s="61" t="n">
        <f aca="false">SUM(S13:S14)</f>
        <v>64259.435693877</v>
      </c>
      <c r="T15" s="61" t="n">
        <f aca="false">SUM(T13:T14)</f>
        <v>57938.8354616924</v>
      </c>
      <c r="U15" s="61" t="n">
        <f aca="false">SUM(U13:U14)</f>
        <v>51618.2352295078</v>
      </c>
      <c r="V15" s="61" t="n">
        <f aca="false">SUM(V13:V14)</f>
        <v>45297.6349973232</v>
      </c>
      <c r="W15" s="61" t="n">
        <f aca="false">SUM(W13:W14)</f>
        <v>38977.0347651385</v>
      </c>
      <c r="X15" s="61" t="n">
        <f aca="false">SUM(X13:X14)</f>
        <v>32656.4345329539</v>
      </c>
      <c r="Y15" s="61" t="n">
        <f aca="false">SUM(Y13:Y14)</f>
        <v>26335.8343007693</v>
      </c>
      <c r="Z15" s="61" t="n">
        <f aca="false">SUM(Z13:Z14)</f>
        <v>20015.2340685847</v>
      </c>
      <c r="AA15" s="61" t="n">
        <f aca="false">SUM(AA13:AA14)</f>
        <v>13694.6338364</v>
      </c>
      <c r="AB15" s="61" t="n">
        <f aca="false">SUM(AB13:AB14)</f>
        <v>11587.7670923385</v>
      </c>
      <c r="AC15" s="304"/>
      <c r="AE15" s="874" t="n">
        <f aca="false">AE14+1</f>
        <v>9</v>
      </c>
    </row>
    <row r="16" customFormat="false" ht="12.75" hidden="false" customHeight="false" outlineLevel="0" collapsed="false">
      <c r="A16" s="37"/>
      <c r="B16" s="39" t="s">
        <v>881</v>
      </c>
      <c r="D16" s="39"/>
      <c r="E16" s="39"/>
      <c r="F16" s="617" t="n">
        <v>0</v>
      </c>
      <c r="G16" s="306" t="n">
        <f aca="false">IF(G$7&lt;YEAR(Startops1),0,IF(HLOOKUP(G$7,Tax_Table,Taxes!$AA$90)&gt;0,HLOOKUP(G$7,Tax_Table,Taxes!$AA$90),0))</f>
        <v>0</v>
      </c>
      <c r="H16" s="306" t="n">
        <f aca="false">IF(H$7&lt;YEAR(Startops1),0,IF(HLOOKUP(H$7,Tax_Table,Taxes!$AA$90)&gt;0,HLOOKUP(H$7,Tax_Table,Taxes!$AA$90),0))</f>
        <v>0</v>
      </c>
      <c r="I16" s="306" t="n">
        <f aca="false">IF(I$7&lt;YEAR(Startops1),0,IF(HLOOKUP(I$7,Tax_Table,Taxes!$AA$90)&gt;0,HLOOKUP(I$7,Tax_Table,Taxes!$AA$90),0))</f>
        <v>0</v>
      </c>
      <c r="J16" s="306" t="n">
        <f aca="false">IF(J$7&lt;YEAR(Startops1),0,IF(HLOOKUP(J$7,Tax_Table,Taxes!$AA$90)&gt;0,HLOOKUP(J$7,Tax_Table,Taxes!$AA$90),0))</f>
        <v>0</v>
      </c>
      <c r="K16" s="306" t="n">
        <f aca="false">IF(K$7&lt;YEAR(Startops1),0,IF(HLOOKUP(K$7,Tax_Table,Taxes!$AA$90)&gt;0,HLOOKUP(K$7,Tax_Table,Taxes!$AA$90),0))</f>
        <v>0</v>
      </c>
      <c r="L16" s="306" t="n">
        <f aca="false">IF(L$7&lt;YEAR(Startops1),0,IF(HLOOKUP(L$7,Tax_Table,Taxes!$AA$90)&gt;0,HLOOKUP(L$7,Tax_Table,Taxes!$AA$90),0))</f>
        <v>0</v>
      </c>
      <c r="M16" s="306" t="n">
        <f aca="false">IF(M$7&lt;YEAR(Startops1),0,IF(HLOOKUP(M$7,Tax_Table,Taxes!$AA$90)&gt;0,HLOOKUP(M$7,Tax_Table,Taxes!$AA$90),0))</f>
        <v>0</v>
      </c>
      <c r="N16" s="306" t="n">
        <f aca="false">IF(N$7&lt;YEAR(Startops1),0,IF(HLOOKUP(N$7,Tax_Table,Taxes!$AA$90)&gt;0,HLOOKUP(N$7,Tax_Table,Taxes!$AA$90),0))</f>
        <v>0</v>
      </c>
      <c r="O16" s="306" t="n">
        <f aca="false">IF(O$7&lt;YEAR(Startops1),0,IF(HLOOKUP(O$7,Tax_Table,Taxes!$AA$90)&gt;0,HLOOKUP(O$7,Tax_Table,Taxes!$AA$90),0))</f>
        <v>0</v>
      </c>
      <c r="P16" s="306" t="n">
        <f aca="false">IF(P$7&lt;YEAR(Startops1),0,IF(HLOOKUP(P$7,Tax_Table,Taxes!$AA$90)&gt;0,HLOOKUP(P$7,Tax_Table,Taxes!$AA$90),0))</f>
        <v>0</v>
      </c>
      <c r="Q16" s="306" t="n">
        <f aca="false">IF(Q$7&lt;YEAR(Startops1),0,IF(HLOOKUP(Q$7,Tax_Table,Taxes!$AA$90)&gt;0,HLOOKUP(Q$7,Tax_Table,Taxes!$AA$90),0))</f>
        <v>0</v>
      </c>
      <c r="R16" s="306" t="n">
        <f aca="false">IF(R$7&lt;YEAR(Startops1),0,IF(HLOOKUP(R$7,Tax_Table,Taxes!$AA$90)&gt;0,HLOOKUP(R$7,Tax_Table,Taxes!$AA$90),0))</f>
        <v>0</v>
      </c>
      <c r="S16" s="306" t="n">
        <f aca="false">IF(S$7&lt;YEAR(Startops1),0,IF(HLOOKUP(S$7,Tax_Table,Taxes!$AA$90)&gt;0,HLOOKUP(S$7,Tax_Table,Taxes!$AA$90),0))</f>
        <v>0</v>
      </c>
      <c r="T16" s="306" t="n">
        <f aca="false">IF(T$7&lt;YEAR(Startops1),0,IF(HLOOKUP(T$7,Tax_Table,Taxes!$AA$90)&gt;0,HLOOKUP(T$7,Tax_Table,Taxes!$AA$90),0))</f>
        <v>0</v>
      </c>
      <c r="U16" s="306" t="n">
        <f aca="false">IF(U$7&lt;YEAR(Startops1),0,IF(HLOOKUP(U$7,Tax_Table,Taxes!$AA$90)&gt;0,HLOOKUP(U$7,Tax_Table,Taxes!$AA$90),0))</f>
        <v>0</v>
      </c>
      <c r="V16" s="306" t="n">
        <f aca="false">IF(V$7&lt;YEAR(Startops1),0,IF(HLOOKUP(V$7,Tax_Table,Taxes!$AA$90)&gt;0,HLOOKUP(V$7,Tax_Table,Taxes!$AA$90),0))</f>
        <v>0</v>
      </c>
      <c r="W16" s="306" t="n">
        <f aca="false">IF(W$7&lt;YEAR(Startops1),0,IF(HLOOKUP(W$7,Tax_Table,Taxes!$AA$90)&gt;0,HLOOKUP(W$7,Tax_Table,Taxes!$AA$90),0))</f>
        <v>0</v>
      </c>
      <c r="X16" s="306" t="n">
        <f aca="false">IF(X$7&lt;YEAR(Startops1),0,IF(HLOOKUP(X$7,Tax_Table,Taxes!$AA$90)&gt;0,HLOOKUP(X$7,Tax_Table,Taxes!$AA$90),0))</f>
        <v>0</v>
      </c>
      <c r="Y16" s="306" t="n">
        <f aca="false">IF(Y$7&lt;YEAR(Startops1),0,IF(HLOOKUP(Y$7,Tax_Table,Taxes!$AA$90)&gt;0,HLOOKUP(Y$7,Tax_Table,Taxes!$AA$90),0))</f>
        <v>0</v>
      </c>
      <c r="Z16" s="306" t="n">
        <f aca="false">IF(Z$7&lt;YEAR(Startops1),0,IF(HLOOKUP(Z$7,Tax_Table,Taxes!$AA$90)&gt;0,HLOOKUP(Z$7,Tax_Table,Taxes!$AA$90),0))</f>
        <v>0</v>
      </c>
      <c r="AA16" s="306" t="n">
        <f aca="false">IF(AA$7&lt;YEAR(Startops1),0,IF(HLOOKUP(AA$7,Tax_Table,Taxes!$AA$90)&gt;0,HLOOKUP(AA$7,Tax_Table,Taxes!$AA$90),0))</f>
        <v>0</v>
      </c>
      <c r="AB16" s="306" t="n">
        <f aca="false">IF(AB$7&lt;YEAR(Startops1),0,IF(HLOOKUP(AB$7,Tax_Table,Taxes!$AA$90)&gt;0,HLOOKUP(AB$7,Tax_Table,Taxes!$AA$90),0))</f>
        <v>0</v>
      </c>
      <c r="AC16" s="307"/>
      <c r="AE16" s="874" t="n">
        <f aca="false">AE15+1</f>
        <v>10</v>
      </c>
    </row>
    <row r="17" customFormat="false" ht="12.75" hidden="false" customHeight="false" outlineLevel="0" collapsed="false">
      <c r="A17" s="37"/>
      <c r="B17" s="39" t="s">
        <v>882</v>
      </c>
      <c r="D17" s="39"/>
      <c r="E17" s="39"/>
      <c r="F17" s="61" t="n">
        <f aca="false">SUM(F9:F11,F15:F16)</f>
        <v>0</v>
      </c>
      <c r="G17" s="61" t="n">
        <f aca="false">SUM(G9:G11,G15:G16)</f>
        <v>6637.97008564951</v>
      </c>
      <c r="H17" s="61" t="n">
        <f aca="false">SUM(H9:H11,H15:H16)</f>
        <v>56348.7309319639</v>
      </c>
      <c r="I17" s="61" t="n">
        <f aca="false">SUM(I9:I11,I15:I16)</f>
        <v>124644.759668103</v>
      </c>
      <c r="J17" s="61" t="n">
        <f aca="false">SUM(J9:J11,J15:J16)</f>
        <v>121708.04846225</v>
      </c>
      <c r="K17" s="61" t="n">
        <f aca="false">SUM(K9:K11,K15:K16)</f>
        <v>110294.143400275</v>
      </c>
      <c r="L17" s="61" t="n">
        <f aca="false">SUM(L9:L11,L15:L16)</f>
        <v>97785.4037905268</v>
      </c>
      <c r="M17" s="61" t="n">
        <f aca="false">SUM(M9:M11,M15:M16)</f>
        <v>86515.6029570729</v>
      </c>
      <c r="N17" s="61" t="n">
        <f aca="false">SUM(N9:N11,N15:N16)</f>
        <v>74875.5998291547</v>
      </c>
      <c r="O17" s="61" t="n">
        <f aca="false">SUM(O9:O11,O15:O16)</f>
        <v>63127.387999476</v>
      </c>
      <c r="P17" s="61" t="n">
        <f aca="false">SUM(P9:P11,P15:P16)</f>
        <v>51756.4995209977</v>
      </c>
      <c r="Q17" s="61" t="n">
        <f aca="false">SUM(Q9:Q11,Q15:Q16)</f>
        <v>43641.9939826288</v>
      </c>
      <c r="R17" s="61" t="n">
        <f aca="false">SUM(R9:R11,R15:R16)</f>
        <v>38223.2558198899</v>
      </c>
      <c r="S17" s="61" t="n">
        <f aca="false">SUM(S9:S11,S15:S16)</f>
        <v>33301.4954865364</v>
      </c>
      <c r="T17" s="61" t="n">
        <f aca="false">SUM(T9:T11,T15:T16)</f>
        <v>28019.2744228242</v>
      </c>
      <c r="U17" s="61" t="n">
        <f aca="false">SUM(U9:U11,U15:U16)</f>
        <v>22400.3858468639</v>
      </c>
      <c r="V17" s="61" t="n">
        <f aca="false">SUM(V9:V11,V15:V16)</f>
        <v>20043.8629210096</v>
      </c>
      <c r="W17" s="61" t="n">
        <f aca="false">SUM(W9:W11,W15:W16)</f>
        <v>18904.2580094113</v>
      </c>
      <c r="X17" s="61" t="n">
        <f aca="false">SUM(X9:X11,X15:X16)</f>
        <v>20388.764237328</v>
      </c>
      <c r="Y17" s="61" t="n">
        <f aca="false">SUM(Y9:Y11,Y15:Y16)</f>
        <v>27108.9249012655</v>
      </c>
      <c r="Z17" s="61" t="n">
        <f aca="false">SUM(Z9:Z11,Z15:Z16)</f>
        <v>30005.4503895078</v>
      </c>
      <c r="AA17" s="61" t="n">
        <f aca="false">SUM(AA9:AA11,AA15:AA16)</f>
        <v>30005.4503895078</v>
      </c>
      <c r="AB17" s="61" t="n">
        <f aca="false">SUM(AB9:AB11,AB15:AB16)</f>
        <v>11733.7670923385</v>
      </c>
      <c r="AC17" s="304"/>
      <c r="AE17" s="874" t="n">
        <f aca="false">AE16+1</f>
        <v>11</v>
      </c>
    </row>
    <row r="18" customFormat="false" ht="12.75" hidden="false" customHeight="false" outlineLevel="0" collapsed="false">
      <c r="A18" s="37"/>
      <c r="D18" s="39"/>
      <c r="E18" s="39"/>
      <c r="F18" s="974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304"/>
      <c r="AE18" s="874" t="n">
        <f aca="false">AE17+1</f>
        <v>12</v>
      </c>
    </row>
    <row r="19" customFormat="false" ht="12.75" hidden="false" customHeight="false" outlineLevel="0" collapsed="false">
      <c r="A19" s="114" t="s">
        <v>883</v>
      </c>
      <c r="D19" s="39"/>
      <c r="E19" s="39"/>
      <c r="F19" s="974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304"/>
      <c r="AE19" s="874" t="n">
        <f aca="false">AE18+1</f>
        <v>13</v>
      </c>
    </row>
    <row r="20" customFormat="false" ht="12.75" hidden="false" customHeight="false" outlineLevel="0" collapsed="false">
      <c r="A20" s="37"/>
      <c r="B20" s="39" t="s">
        <v>884</v>
      </c>
      <c r="D20" s="39"/>
      <c r="E20" s="39"/>
      <c r="F20" s="98" t="n">
        <v>0</v>
      </c>
      <c r="G20" s="61" t="n">
        <f aca="false">IF(G$7&lt;YEAR(Startops1),0,IF(HLOOKUP(G$7,Tax_Table,Taxes!$AA$90)&lt;0,-HLOOKUP(G$7,Tax_Table,Taxes!$AA$90),0))</f>
        <v>0</v>
      </c>
      <c r="H20" s="61" t="n">
        <f aca="false">IF(H$7&lt;YEAR(Startops1),0,IF(HLOOKUP(H$7,Tax_Table,Taxes!$AA$90)&lt;0,-HLOOKUP(H$7,Tax_Table,Taxes!$AA$90),0))</f>
        <v>0</v>
      </c>
      <c r="I20" s="61" t="n">
        <f aca="false">IF(I$7&lt;YEAR(Startops1),0,IF(HLOOKUP(I$7,Tax_Table,Taxes!$AA$90)&lt;0,-HLOOKUP(I$7,Tax_Table,Taxes!$AA$90),0))</f>
        <v>0</v>
      </c>
      <c r="J20" s="61" t="n">
        <f aca="false">IF(J$7&lt;YEAR(Startops1),0,IF(HLOOKUP(J$7,Tax_Table,Taxes!$AA$90)&lt;0,-HLOOKUP(J$7,Tax_Table,Taxes!$AA$90),0))</f>
        <v>0</v>
      </c>
      <c r="K20" s="61" t="n">
        <f aca="false">IF(K$7&lt;YEAR(Startops1),0,IF(HLOOKUP(K$7,Tax_Table,Taxes!$AA$90)&lt;0,-HLOOKUP(K$7,Tax_Table,Taxes!$AA$90),0))</f>
        <v>0</v>
      </c>
      <c r="L20" s="61" t="n">
        <f aca="false">IF(L$7&lt;YEAR(Startops1),0,IF(HLOOKUP(L$7,Tax_Table,Taxes!$AA$90)&lt;0,-HLOOKUP(L$7,Tax_Table,Taxes!$AA$90),0))</f>
        <v>0</v>
      </c>
      <c r="M20" s="61" t="n">
        <f aca="false">IF(M$7&lt;YEAR(Startops1),0,IF(HLOOKUP(M$7,Tax_Table,Taxes!$AA$90)&lt;0,-HLOOKUP(M$7,Tax_Table,Taxes!$AA$90),0))</f>
        <v>0</v>
      </c>
      <c r="N20" s="61" t="n">
        <f aca="false">IF(N$7&lt;YEAR(Startops1),0,IF(HLOOKUP(N$7,Tax_Table,Taxes!$AA$90)&lt;0,-HLOOKUP(N$7,Tax_Table,Taxes!$AA$90),0))</f>
        <v>0</v>
      </c>
      <c r="O20" s="61" t="n">
        <f aca="false">IF(O$7&lt;YEAR(Startops1),0,IF(HLOOKUP(O$7,Tax_Table,Taxes!$AA$90)&lt;0,-HLOOKUP(O$7,Tax_Table,Taxes!$AA$90),0))</f>
        <v>0</v>
      </c>
      <c r="P20" s="61" t="n">
        <f aca="false">IF(P$7&lt;YEAR(Startops1),0,IF(HLOOKUP(P$7,Tax_Table,Taxes!$AA$90)&lt;0,-HLOOKUP(P$7,Tax_Table,Taxes!$AA$90),0))</f>
        <v>0</v>
      </c>
      <c r="Q20" s="61" t="n">
        <f aca="false">IF(Q$7&lt;YEAR(Startops1),0,IF(HLOOKUP(Q$7,Tax_Table,Taxes!$AA$90)&lt;0,-HLOOKUP(Q$7,Tax_Table,Taxes!$AA$90),0))</f>
        <v>0</v>
      </c>
      <c r="R20" s="61" t="n">
        <f aca="false">IF(R$7&lt;YEAR(Startops1),0,IF(HLOOKUP(R$7,Tax_Table,Taxes!$AA$90)&lt;0,-HLOOKUP(R$7,Tax_Table,Taxes!$AA$90),0))</f>
        <v>0</v>
      </c>
      <c r="S20" s="61" t="n">
        <f aca="false">IF(S$7&lt;YEAR(Startops1),0,IF(HLOOKUP(S$7,Tax_Table,Taxes!$AA$90)&lt;0,-HLOOKUP(S$7,Tax_Table,Taxes!$AA$90),0))</f>
        <v>0</v>
      </c>
      <c r="T20" s="61" t="n">
        <f aca="false">IF(T$7&lt;YEAR(Startops1),0,IF(HLOOKUP(T$7,Tax_Table,Taxes!$AA$90)&lt;0,-HLOOKUP(T$7,Tax_Table,Taxes!$AA$90),0))</f>
        <v>0</v>
      </c>
      <c r="U20" s="61" t="n">
        <f aca="false">IF(U$7&lt;YEAR(Startops1),0,IF(HLOOKUP(U$7,Tax_Table,Taxes!$AA$90)&lt;0,-HLOOKUP(U$7,Tax_Table,Taxes!$AA$90),0))</f>
        <v>0</v>
      </c>
      <c r="V20" s="61" t="n">
        <f aca="false">IF(V$7&lt;YEAR(Startops1),0,IF(HLOOKUP(V$7,Tax_Table,Taxes!$AA$90)&lt;0,-HLOOKUP(V$7,Tax_Table,Taxes!$AA$90),0))</f>
        <v>0</v>
      </c>
      <c r="W20" s="61" t="n">
        <f aca="false">IF(W$7&lt;YEAR(Startops1),0,IF(HLOOKUP(W$7,Tax_Table,Taxes!$AA$90)&lt;0,-HLOOKUP(W$7,Tax_Table,Taxes!$AA$90),0))</f>
        <v>0</v>
      </c>
      <c r="X20" s="61" t="n">
        <f aca="false">IF(X$7&lt;YEAR(Startops1),0,IF(HLOOKUP(X$7,Tax_Table,Taxes!$AA$90)&lt;0,-HLOOKUP(X$7,Tax_Table,Taxes!$AA$90),0))</f>
        <v>0</v>
      </c>
      <c r="Y20" s="61" t="n">
        <f aca="false">IF(Y$7&lt;YEAR(Startops1),0,IF(HLOOKUP(Y$7,Tax_Table,Taxes!$AA$90)&lt;0,-HLOOKUP(Y$7,Tax_Table,Taxes!$AA$90),0))</f>
        <v>0</v>
      </c>
      <c r="Z20" s="61" t="n">
        <f aca="false">IF(Z$7&lt;YEAR(Startops1),0,IF(HLOOKUP(Z$7,Tax_Table,Taxes!$AA$90)&lt;0,-HLOOKUP(Z$7,Tax_Table,Taxes!$AA$90),0))</f>
        <v>0</v>
      </c>
      <c r="AA20" s="61" t="n">
        <f aca="false">IF(AA$7&lt;YEAR(Startops1),0,IF(HLOOKUP(AA$7,Tax_Table,Taxes!$AA$90)&lt;0,-HLOOKUP(AA$7,Tax_Table,Taxes!$AA$90),0))</f>
        <v>0</v>
      </c>
      <c r="AB20" s="61" t="n">
        <f aca="false">IF(AB$7&lt;YEAR(Startops1),0,IF(HLOOKUP(AB$7,Tax_Table,Taxes!$AA$90)&lt;0,-HLOOKUP(AB$7,Tax_Table,Taxes!$AA$90),0))</f>
        <v>0</v>
      </c>
      <c r="AC20" s="307"/>
      <c r="AE20" s="874" t="n">
        <f aca="false">AE19+1</f>
        <v>14</v>
      </c>
    </row>
    <row r="21" customFormat="false" ht="12.75" hidden="false" customHeight="false" outlineLevel="0" collapsed="false">
      <c r="A21" s="37"/>
      <c r="B21" s="39" t="s">
        <v>885</v>
      </c>
      <c r="D21" s="39"/>
      <c r="E21" s="39"/>
      <c r="F21" s="98" t="n">
        <v>0</v>
      </c>
      <c r="G21" s="61" t="n">
        <f aca="false">SUM($G65:G65,$G66:G66)</f>
        <v>0</v>
      </c>
      <c r="H21" s="61" t="n">
        <f aca="false">SUM($G65:H65,$G66:H66)</f>
        <v>27218.2181047322</v>
      </c>
      <c r="I21" s="61" t="n">
        <f aca="false">SUM($G65:I65,$G66:I66)</f>
        <v>0</v>
      </c>
      <c r="J21" s="61" t="n">
        <f aca="false">SUM($G65:J65,$G66:J66)</f>
        <v>0</v>
      </c>
      <c r="K21" s="61" t="n">
        <f aca="false">SUM($G65:K65,$G66:K66)</f>
        <v>0</v>
      </c>
      <c r="L21" s="61" t="n">
        <f aca="false">SUM($G65:L65,$G66:L66)</f>
        <v>0</v>
      </c>
      <c r="M21" s="61" t="n">
        <f aca="false">SUM($G65:M65,$G66:M66)</f>
        <v>0</v>
      </c>
      <c r="N21" s="61" t="n">
        <f aca="false">SUM($G65:N65,$G66:N66)</f>
        <v>0</v>
      </c>
      <c r="O21" s="61" t="n">
        <f aca="false">SUM($G65:O65,$G66:O66)</f>
        <v>0</v>
      </c>
      <c r="P21" s="61" t="n">
        <f aca="false">SUM($G65:P65,$G66:P66)</f>
        <v>0</v>
      </c>
      <c r="Q21" s="61" t="n">
        <f aca="false">SUM($G65:Q65,$G66:Q66)</f>
        <v>0</v>
      </c>
      <c r="R21" s="61" t="n">
        <f aca="false">SUM($G65:R65,$G66:R66)</f>
        <v>0</v>
      </c>
      <c r="S21" s="61" t="n">
        <f aca="false">SUM($G65:S65,$G66:S66)</f>
        <v>0</v>
      </c>
      <c r="T21" s="61" t="n">
        <f aca="false">SUM($G65:T65,$G66:T66)</f>
        <v>0</v>
      </c>
      <c r="U21" s="61" t="n">
        <f aca="false">SUM($G65:U65,$G66:U66)</f>
        <v>0</v>
      </c>
      <c r="V21" s="61" t="n">
        <f aca="false">SUM($G65:V65,$G66:V66)</f>
        <v>0</v>
      </c>
      <c r="W21" s="61" t="n">
        <f aca="false">SUM($G65:W65,$G66:W66)</f>
        <v>0</v>
      </c>
      <c r="X21" s="61" t="n">
        <f aca="false">SUM($G65:X65,$G66:X66)</f>
        <v>0</v>
      </c>
      <c r="Y21" s="61" t="n">
        <f aca="false">SUM($G65:Y65,$G66:Y66)</f>
        <v>0</v>
      </c>
      <c r="Z21" s="61" t="n">
        <f aca="false">SUM($G65:Z65,$G66:Z66)</f>
        <v>0</v>
      </c>
      <c r="AA21" s="61" t="n">
        <f aca="false">SUM($G65:AA65,$G66:AA66)</f>
        <v>0</v>
      </c>
      <c r="AB21" s="61" t="n">
        <f aca="false">SUM($G65:AB65,$G66:AB66)</f>
        <v>0</v>
      </c>
      <c r="AC21" s="304"/>
      <c r="AE21" s="874" t="n">
        <f aca="false">AE20+1</f>
        <v>15</v>
      </c>
    </row>
    <row r="22" customFormat="false" ht="12.75" hidden="false" customHeight="false" outlineLevel="0" collapsed="false">
      <c r="A22" s="37"/>
      <c r="B22" s="39" t="s">
        <v>265</v>
      </c>
      <c r="D22" s="39"/>
      <c r="E22" s="39"/>
      <c r="F22" s="98" t="n">
        <v>0</v>
      </c>
      <c r="G22" s="61" t="n">
        <f aca="false">SUM($G67:G68)</f>
        <v>0</v>
      </c>
      <c r="H22" s="61" t="n">
        <f aca="false">SUM($G67:H68)</f>
        <v>0</v>
      </c>
      <c r="I22" s="61" t="n">
        <f aca="false">SUM($G67:I68)</f>
        <v>74443.6232721543</v>
      </c>
      <c r="J22" s="61" t="n">
        <f aca="false">SUM($G67:J68)</f>
        <v>75934.8027862155</v>
      </c>
      <c r="K22" s="61" t="n">
        <f aca="false">SUM($G67:K68)</f>
        <v>74795.889222712</v>
      </c>
      <c r="L22" s="61" t="n">
        <f aca="false">SUM($G67:L68)</f>
        <v>72864.9756661482</v>
      </c>
      <c r="M22" s="61" t="n">
        <f aca="false">SUM($G67:M68)</f>
        <v>67441.0611814185</v>
      </c>
      <c r="N22" s="61" t="n">
        <f aca="false">SUM($G67:N68)</f>
        <v>60555.3294241944</v>
      </c>
      <c r="O22" s="61" t="n">
        <f aca="false">SUM($G67:O68)</f>
        <v>52754.5832933964</v>
      </c>
      <c r="P22" s="61" t="n">
        <f aca="false">SUM($G67:P68)</f>
        <v>44384.3261417018</v>
      </c>
      <c r="Q22" s="61" t="n">
        <f aca="false">SUM($G67:Q68)</f>
        <v>38033.9347441205</v>
      </c>
      <c r="R22" s="61" t="n">
        <f aca="false">SUM($G67:R68)</f>
        <v>33703.4091006525</v>
      </c>
      <c r="S22" s="61" t="n">
        <f aca="false">SUM($G67:S68)</f>
        <v>29372.8834571845</v>
      </c>
      <c r="T22" s="61" t="n">
        <f aca="false">SUM($G67:T68)</f>
        <v>24032.4249366599</v>
      </c>
      <c r="U22" s="61" t="n">
        <f aca="false">SUM($G67:U68)</f>
        <v>17682.0335390786</v>
      </c>
      <c r="V22" s="61" t="n">
        <f aca="false">SUM($G67:V68)</f>
        <v>11331.6421414973</v>
      </c>
      <c r="W22" s="61" t="n">
        <f aca="false">SUM($G67:W68)</f>
        <v>4753.44633555736</v>
      </c>
      <c r="X22" s="61" t="n">
        <f aca="false">SUM($G67:X68)</f>
        <v>0</v>
      </c>
      <c r="Y22" s="61" t="n">
        <f aca="false">SUM($G67:Y68)</f>
        <v>0</v>
      </c>
      <c r="Z22" s="61" t="n">
        <f aca="false">SUM($G67:Z68)</f>
        <v>0</v>
      </c>
      <c r="AA22" s="61" t="n">
        <f aca="false">SUM($G67:AA68)</f>
        <v>0</v>
      </c>
      <c r="AB22" s="61" t="n">
        <f aca="false">SUM($G67:AB68)</f>
        <v>0</v>
      </c>
      <c r="AC22" s="304"/>
      <c r="AE22" s="874" t="n">
        <f aca="false">AE21+1</f>
        <v>16</v>
      </c>
    </row>
    <row r="23" customFormat="false" ht="12.75" hidden="false" customHeight="false" outlineLevel="0" collapsed="false">
      <c r="A23" s="37"/>
      <c r="B23" s="39" t="s">
        <v>268</v>
      </c>
      <c r="D23" s="39"/>
      <c r="E23" s="39"/>
      <c r="F23" s="617" t="n">
        <v>0</v>
      </c>
      <c r="G23" s="306" t="n">
        <f aca="false">SUM($G69:G70)</f>
        <v>0</v>
      </c>
      <c r="H23" s="306" t="n">
        <f aca="false">SUM($G69:H70)</f>
        <v>0</v>
      </c>
      <c r="I23" s="306" t="n">
        <f aca="false">SUM($G69:I70)</f>
        <v>21070.6235687175</v>
      </c>
      <c r="J23" s="306" t="n">
        <f aca="false">SUM($G69:J70)</f>
        <v>21492.6890302453</v>
      </c>
      <c r="K23" s="306" t="n">
        <f aca="false">SUM($G69:K70)</f>
        <v>20529.9812618798</v>
      </c>
      <c r="L23" s="306" t="n">
        <f aca="false">SUM($G69:L70)</f>
        <v>19438.0540433055</v>
      </c>
      <c r="M23" s="306" t="n">
        <f aca="false">SUM($G69:M70)</f>
        <v>18199.5628938181</v>
      </c>
      <c r="N23" s="306" t="n">
        <f aca="false">SUM($G69:N70)</f>
        <v>16794.8352697907</v>
      </c>
      <c r="O23" s="306" t="n">
        <f aca="false">SUM($G69:O70)</f>
        <v>15201.5580804283</v>
      </c>
      <c r="P23" s="306" t="n">
        <f aca="false">SUM($G69:P70)</f>
        <v>13394.4232603237</v>
      </c>
      <c r="Q23" s="306" t="n">
        <f aca="false">SUM($G69:Q70)</f>
        <v>11344.7257689905</v>
      </c>
      <c r="R23" s="306" t="n">
        <f aca="false">SUM($G69:R70)</f>
        <v>9019.90763188313</v>
      </c>
      <c r="S23" s="306" t="n">
        <f aca="false">SUM($G69:S70)</f>
        <v>6383.04078032252</v>
      </c>
      <c r="T23" s="306" t="n">
        <f aca="false">SUM($G69:T70)</f>
        <v>3392.2404756112</v>
      </c>
      <c r="U23" s="306" t="n">
        <f aca="false">SUM($G69:U70)</f>
        <v>0</v>
      </c>
      <c r="V23" s="306" t="n">
        <f aca="false">SUM($G69:V70)</f>
        <v>0</v>
      </c>
      <c r="W23" s="306" t="n">
        <f aca="false">SUM($G69:W70)</f>
        <v>0</v>
      </c>
      <c r="X23" s="306" t="n">
        <f aca="false">SUM($G69:X70)</f>
        <v>0</v>
      </c>
      <c r="Y23" s="306" t="n">
        <f aca="false">SUM($G69:Y70)</f>
        <v>0</v>
      </c>
      <c r="Z23" s="306" t="n">
        <f aca="false">SUM($G69:Z70)</f>
        <v>0</v>
      </c>
      <c r="AA23" s="306" t="n">
        <f aca="false">SUM($G69:AA70)</f>
        <v>0</v>
      </c>
      <c r="AB23" s="306" t="n">
        <f aca="false">SUM($G69:AB70)</f>
        <v>0</v>
      </c>
      <c r="AC23" s="304"/>
      <c r="AE23" s="874" t="n">
        <f aca="false">AE22+1</f>
        <v>17</v>
      </c>
    </row>
    <row r="24" customFormat="false" ht="12.75" hidden="false" customHeight="false" outlineLevel="0" collapsed="false">
      <c r="A24" s="37"/>
      <c r="C24" s="39" t="s">
        <v>886</v>
      </c>
      <c r="D24" s="39"/>
      <c r="E24" s="39"/>
      <c r="F24" s="61" t="n">
        <f aca="false">SUM(F20:F23)</f>
        <v>0</v>
      </c>
      <c r="G24" s="61" t="n">
        <f aca="false">SUM(G20:G23)</f>
        <v>0</v>
      </c>
      <c r="H24" s="61" t="n">
        <f aca="false">SUM(H20:H23)</f>
        <v>27218.2181047322</v>
      </c>
      <c r="I24" s="61" t="n">
        <f aca="false">SUM(I20:I23)</f>
        <v>95514.2468408718</v>
      </c>
      <c r="J24" s="61" t="n">
        <f aca="false">SUM(J20:J23)</f>
        <v>97427.4918164608</v>
      </c>
      <c r="K24" s="61" t="n">
        <f aca="false">SUM(K20:K23)</f>
        <v>95325.8704845918</v>
      </c>
      <c r="L24" s="61" t="n">
        <f aca="false">SUM(L20:L23)</f>
        <v>92303.0297094537</v>
      </c>
      <c r="M24" s="61" t="n">
        <f aca="false">SUM(M20:M23)</f>
        <v>85640.6240752366</v>
      </c>
      <c r="N24" s="61" t="n">
        <f aca="false">SUM(N20:N23)</f>
        <v>77350.1646939851</v>
      </c>
      <c r="O24" s="61" t="n">
        <f aca="false">SUM(O20:O23)</f>
        <v>67956.1413738247</v>
      </c>
      <c r="P24" s="61" t="n">
        <f aca="false">SUM(P20:P23)</f>
        <v>57778.7494020254</v>
      </c>
      <c r="Q24" s="61" t="n">
        <f aca="false">SUM(Q20:Q23)</f>
        <v>49378.660513111</v>
      </c>
      <c r="R24" s="61" t="n">
        <f aca="false">SUM(R20:R23)</f>
        <v>42723.3167325356</v>
      </c>
      <c r="S24" s="61" t="n">
        <f aca="false">SUM(S20:S23)</f>
        <v>35755.9242375071</v>
      </c>
      <c r="T24" s="61" t="n">
        <f aca="false">SUM(T20:T23)</f>
        <v>27424.6654122711</v>
      </c>
      <c r="U24" s="61" t="n">
        <f aca="false">SUM(U20:U23)</f>
        <v>17682.0335390786</v>
      </c>
      <c r="V24" s="61" t="n">
        <f aca="false">SUM(V20:V23)</f>
        <v>11331.6421414973</v>
      </c>
      <c r="W24" s="61" t="n">
        <f aca="false">SUM(W20:W23)</f>
        <v>4753.44633555736</v>
      </c>
      <c r="X24" s="61" t="n">
        <f aca="false">SUM(X20:X23)</f>
        <v>0</v>
      </c>
      <c r="Y24" s="61" t="n">
        <f aca="false">SUM(Y20:Y23)</f>
        <v>0</v>
      </c>
      <c r="Z24" s="61" t="n">
        <f aca="false">SUM(Z20:Z23)</f>
        <v>0</v>
      </c>
      <c r="AA24" s="61" t="n">
        <f aca="false">SUM(AA20:AA23)</f>
        <v>0</v>
      </c>
      <c r="AB24" s="61" t="n">
        <f aca="false">SUM(AB20:AB23)</f>
        <v>0</v>
      </c>
      <c r="AC24" s="304"/>
      <c r="AE24" s="874" t="n">
        <f aca="false">AE23+1</f>
        <v>18</v>
      </c>
    </row>
    <row r="25" customFormat="false" ht="12.75" hidden="false" customHeight="false" outlineLevel="0" collapsed="false">
      <c r="A25" s="37"/>
      <c r="D25" s="39"/>
      <c r="E25" s="39"/>
      <c r="F25" s="974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304"/>
      <c r="AE25" s="874" t="n">
        <f aca="false">AE24+1</f>
        <v>19</v>
      </c>
    </row>
    <row r="26" customFormat="false" ht="12.75" hidden="false" customHeight="false" outlineLevel="0" collapsed="false">
      <c r="A26" s="114" t="s">
        <v>471</v>
      </c>
      <c r="D26" s="39"/>
      <c r="E26" s="39"/>
      <c r="F26" s="974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304"/>
      <c r="AE26" s="874" t="n">
        <f aca="false">AE25+1</f>
        <v>20</v>
      </c>
    </row>
    <row r="27" customFormat="false" ht="12.75" hidden="false" customHeight="false" outlineLevel="0" collapsed="false">
      <c r="A27" s="37"/>
      <c r="B27" s="39" t="s">
        <v>930</v>
      </c>
      <c r="D27" s="39"/>
      <c r="E27" s="39"/>
      <c r="F27" s="98" t="n">
        <v>0</v>
      </c>
      <c r="G27" s="61" t="n">
        <f aca="false">SUM($G64:G64)</f>
        <v>6637.97008564951</v>
      </c>
      <c r="H27" s="61" t="n">
        <f aca="false">SUM($G64:H64)</f>
        <v>29130.5128272317</v>
      </c>
      <c r="I27" s="61" t="n">
        <f aca="false">SUM($G64:I64)</f>
        <v>29130.5128272317</v>
      </c>
      <c r="J27" s="61" t="n">
        <f aca="false">SUM($G64:J64)</f>
        <v>29130.5128272317</v>
      </c>
      <c r="K27" s="61" t="n">
        <f aca="false">SUM($G64:K64)</f>
        <v>29130.5128272317</v>
      </c>
      <c r="L27" s="61" t="n">
        <f aca="false">SUM($G64:L64)</f>
        <v>29130.5128272317</v>
      </c>
      <c r="M27" s="61" t="n">
        <f aca="false">SUM($G64:M64)</f>
        <v>29130.5128272317</v>
      </c>
      <c r="N27" s="61" t="n">
        <f aca="false">SUM($G64:N64)</f>
        <v>29130.5128272317</v>
      </c>
      <c r="O27" s="61" t="n">
        <f aca="false">SUM($G64:O64)</f>
        <v>29130.5128272317</v>
      </c>
      <c r="P27" s="61" t="n">
        <f aca="false">SUM($G64:P64)</f>
        <v>29130.5128272317</v>
      </c>
      <c r="Q27" s="61" t="n">
        <f aca="false">SUM($G64:Q64)</f>
        <v>29130.5128272317</v>
      </c>
      <c r="R27" s="61" t="n">
        <f aca="false">SUM($G64:R64)</f>
        <v>29130.5128272317</v>
      </c>
      <c r="S27" s="61" t="n">
        <f aca="false">SUM($G64:S64)</f>
        <v>29130.5128272317</v>
      </c>
      <c r="T27" s="61" t="n">
        <f aca="false">SUM($G64:T64)</f>
        <v>29130.5128272317</v>
      </c>
      <c r="U27" s="61" t="n">
        <f aca="false">SUM($G64:U64)</f>
        <v>29130.5128272317</v>
      </c>
      <c r="V27" s="61" t="n">
        <f aca="false">SUM($G64:V64)</f>
        <v>29130.5128272317</v>
      </c>
      <c r="W27" s="61" t="n">
        <f aca="false">SUM($G64:W64)</f>
        <v>29130.5128272317</v>
      </c>
      <c r="X27" s="61" t="n">
        <f aca="false">SUM($G64:X64)</f>
        <v>29130.5128272317</v>
      </c>
      <c r="Y27" s="61" t="n">
        <f aca="false">SUM($G64:Y64)</f>
        <v>29130.5128272317</v>
      </c>
      <c r="Z27" s="61" t="n">
        <f aca="false">SUM($G64:Z64)</f>
        <v>29130.5128272317</v>
      </c>
      <c r="AA27" s="61" t="n">
        <f aca="false">SUM($G64:AA64)</f>
        <v>29130.5128272317</v>
      </c>
      <c r="AB27" s="61" t="n">
        <f aca="false">SUM($G64:AB64)</f>
        <v>29130.5128272317</v>
      </c>
      <c r="AC27" s="304"/>
      <c r="AE27" s="874" t="n">
        <f aca="false">AE26+1</f>
        <v>21</v>
      </c>
    </row>
    <row r="28" customFormat="false" ht="12.75" hidden="false" customHeight="false" outlineLevel="0" collapsed="false">
      <c r="A28" s="37"/>
      <c r="B28" s="39" t="s">
        <v>529</v>
      </c>
      <c r="D28" s="39"/>
      <c r="E28" s="39"/>
      <c r="F28" s="98" t="n">
        <v>0</v>
      </c>
      <c r="G28" s="61" t="n">
        <f aca="false">IF(G$37&lt;YEAR(Startops1),0,HLOOKUP(G$37,Reserve_Table,Trapped!$AC$49))</f>
        <v>0</v>
      </c>
      <c r="H28" s="61" t="n">
        <f aca="false">IF(H$37&lt;YEAR(Startops1),0,HLOOKUP(H$37,Reserve_Table,Trapped!$AC$49))</f>
        <v>0</v>
      </c>
      <c r="I28" s="61" t="n">
        <f aca="false">IF(I$37&lt;YEAR(Startops1),0,HLOOKUP(I$37,Reserve_Table,Trapped!$AC$49))</f>
        <v>0</v>
      </c>
      <c r="J28" s="61" t="n">
        <f aca="false">IF(J$37&lt;YEAR(Startops1),0,HLOOKUP(J$37,Reserve_Table,Trapped!$AC$49))</f>
        <v>0</v>
      </c>
      <c r="K28" s="61" t="n">
        <f aca="false">IF(K$37&lt;YEAR(Startops1),0,HLOOKUP(K$37,Reserve_Table,Trapped!$AC$49))</f>
        <v>0</v>
      </c>
      <c r="L28" s="61" t="n">
        <f aca="false">IF(L$37&lt;YEAR(Startops1),0,HLOOKUP(L$37,Reserve_Table,Trapped!$AC$49))</f>
        <v>0</v>
      </c>
      <c r="M28" s="61" t="n">
        <f aca="false">IF(M$37&lt;YEAR(Startops1),0,HLOOKUP(M$37,Reserve_Table,Trapped!$AC$49))</f>
        <v>0</v>
      </c>
      <c r="N28" s="61" t="n">
        <f aca="false">IF(N$37&lt;YEAR(Startops1),0,HLOOKUP(N$37,Reserve_Table,Trapped!$AC$49))</f>
        <v>0</v>
      </c>
      <c r="O28" s="61" t="n">
        <f aca="false">IF(O$37&lt;YEAR(Startops1),0,HLOOKUP(O$37,Reserve_Table,Trapped!$AC$49))</f>
        <v>0</v>
      </c>
      <c r="P28" s="61" t="n">
        <f aca="false">IF(P$37&lt;YEAR(Startops1),0,HLOOKUP(P$37,Reserve_Table,Trapped!$AC$49))</f>
        <v>0</v>
      </c>
      <c r="Q28" s="61" t="n">
        <f aca="false">IF(Q$37&lt;YEAR(Startops1),0,HLOOKUP(Q$37,Reserve_Table,Trapped!$AC$49))</f>
        <v>47.9415472258764</v>
      </c>
      <c r="R28" s="61" t="n">
        <f aca="false">IF(R$37&lt;YEAR(Startops1),0,HLOOKUP(R$37,Reserve_Table,Trapped!$AC$49))</f>
        <v>140.884811356672</v>
      </c>
      <c r="S28" s="61" t="n">
        <f aca="false">IF(S$37&lt;YEAR(Startops1),0,HLOOKUP(S$37,Reserve_Table,Trapped!$AC$49))</f>
        <v>147.528908667842</v>
      </c>
      <c r="T28" s="61" t="n">
        <f aca="false">IF(T$37&lt;YEAR(Startops1),0,HLOOKUP(T$37,Reserve_Table,Trapped!$AC$49))</f>
        <v>259.879304530335</v>
      </c>
      <c r="U28" s="61" t="n">
        <f aca="false">IF(U$37&lt;YEAR(Startops1),0,HLOOKUP(U$37,Reserve_Table,Trapped!$AC$49))</f>
        <v>291.885481921873</v>
      </c>
      <c r="V28" s="61" t="n">
        <f aca="false">IF(V$37&lt;YEAR(Startops1),0,HLOOKUP(V$37,Reserve_Table,Trapped!$AC$49))</f>
        <v>430.527090093351</v>
      </c>
      <c r="W28" s="61" t="n">
        <f aca="false">IF(W$37&lt;YEAR(Startops1),0,HLOOKUP(W$37,Reserve_Table,Trapped!$AC$49))</f>
        <v>444.410472182737</v>
      </c>
      <c r="X28" s="61" t="n">
        <f aca="false">IF(X$37&lt;YEAR(Startops1),0,HLOOKUP(X$37,Reserve_Table,Trapped!$AC$49))</f>
        <v>430.527090093351</v>
      </c>
      <c r="Y28" s="61" t="n">
        <f aca="false">IF(Y$37&lt;YEAR(Startops1),0,HLOOKUP(Y$37,Reserve_Table,Trapped!$AC$49))</f>
        <v>444.410472182737</v>
      </c>
      <c r="Z28" s="61" t="n">
        <f aca="false">IF(Z$37&lt;YEAR(Startops1),0,HLOOKUP(Z$37,Reserve_Table,Trapped!$AC$49))</f>
        <v>874.937562276088</v>
      </c>
      <c r="AA28" s="61" t="n">
        <f aca="false">IF(AA$37&lt;YEAR(Startops1),0,HLOOKUP(AA$37,Reserve_Table,Trapped!$AC$49))</f>
        <v>874.937562276088</v>
      </c>
      <c r="AB28" s="61" t="n">
        <f aca="false">IF(AB$37&lt;YEAR(Startops1),0,HLOOKUP(AB$37,Reserve_Table,Trapped!$AC$49))</f>
        <v>874.937562276088</v>
      </c>
      <c r="AC28" s="304"/>
      <c r="AE28" s="874" t="n">
        <f aca="false">AE27+1</f>
        <v>22</v>
      </c>
    </row>
    <row r="29" customFormat="false" ht="12.75" hidden="false" customHeight="false" outlineLevel="0" collapsed="false">
      <c r="A29" s="37"/>
      <c r="B29" s="39" t="s">
        <v>889</v>
      </c>
      <c r="D29" s="39"/>
      <c r="E29" s="39"/>
      <c r="F29" s="98" t="n">
        <v>0</v>
      </c>
      <c r="G29" s="61" t="n">
        <f aca="false">SUM($G53:G53)</f>
        <v>0</v>
      </c>
      <c r="H29" s="61" t="n">
        <f aca="false">SUM($G53:H53)</f>
        <v>0</v>
      </c>
      <c r="I29" s="61" t="n">
        <f aca="false">SUM($G53:I53)</f>
        <v>0</v>
      </c>
      <c r="J29" s="61" t="n">
        <f aca="false">SUM($G53:J53)</f>
        <v>-4849.95618144266</v>
      </c>
      <c r="K29" s="61" t="n">
        <f aca="false">SUM($G53:K53)</f>
        <v>-14162.2399115488</v>
      </c>
      <c r="L29" s="61" t="n">
        <f aca="false">SUM($G53:L53)</f>
        <v>-23648.1387461587</v>
      </c>
      <c r="M29" s="61" t="n">
        <f aca="false">SUM($G53:M53)</f>
        <v>-28255.5339453955</v>
      </c>
      <c r="N29" s="61" t="n">
        <f aca="false">SUM($G53:N53)</f>
        <v>-31605.0776920621</v>
      </c>
      <c r="O29" s="61" t="n">
        <f aca="false">SUM($G53:O53)</f>
        <v>-33959.2662015804</v>
      </c>
      <c r="P29" s="61" t="n">
        <f aca="false">SUM($G53:P53)</f>
        <v>-35152.7627082595</v>
      </c>
      <c r="Q29" s="61" t="n">
        <f aca="false">SUM($G53:Q53)</f>
        <v>-34915.1209049397</v>
      </c>
      <c r="R29" s="61" t="n">
        <f aca="false">SUM($G53:R53)</f>
        <v>-33771.4585512341</v>
      </c>
      <c r="S29" s="61" t="n">
        <f aca="false">SUM($G53:S53)</f>
        <v>-31732.4704868702</v>
      </c>
      <c r="T29" s="61" t="n">
        <f aca="false">SUM($G53:T53)</f>
        <v>-28795.7831212089</v>
      </c>
      <c r="U29" s="61" t="n">
        <f aca="false">SUM($G53:U53)</f>
        <v>-24704.0460013683</v>
      </c>
      <c r="V29" s="61" t="n">
        <f aca="false">SUM($G53:V53)</f>
        <v>-20848.8191378128</v>
      </c>
      <c r="W29" s="61" t="n">
        <f aca="false">SUM($G53:W53)</f>
        <v>-15424.1116255605</v>
      </c>
      <c r="X29" s="61" t="n">
        <f aca="false">SUM($G53:X53)</f>
        <v>-9172.27567999704</v>
      </c>
      <c r="Y29" s="61" t="n">
        <f aca="false">SUM($G53:Y53)</f>
        <v>-2465.99839814895</v>
      </c>
      <c r="Z29" s="61" t="n">
        <f aca="false">SUM($G53:Z53)</f>
        <v>4150.35970157787</v>
      </c>
      <c r="AA29" s="61" t="n">
        <f aca="false">SUM($G53:AA53)</f>
        <v>11731.728567102</v>
      </c>
      <c r="AB29" s="61" t="n">
        <f aca="false">SUM($G53:AB53)</f>
        <v>13967.0488132835</v>
      </c>
      <c r="AC29" s="304"/>
      <c r="AE29" s="874" t="n">
        <f aca="false">AE28+1</f>
        <v>23</v>
      </c>
    </row>
    <row r="30" customFormat="false" ht="12.75" hidden="false" customHeight="false" outlineLevel="0" collapsed="false">
      <c r="A30" s="37"/>
      <c r="B30" s="39" t="s">
        <v>890</v>
      </c>
      <c r="D30" s="39"/>
      <c r="E30" s="39"/>
      <c r="F30" s="617" t="n">
        <v>0</v>
      </c>
      <c r="G30" s="306" t="n">
        <f aca="false">SUM($G82:G82)</f>
        <v>0</v>
      </c>
      <c r="H30" s="306" t="n">
        <f aca="false">SUM($G82:H82)</f>
        <v>0</v>
      </c>
      <c r="I30" s="306" t="n">
        <f aca="false">SUM($G82:I82)</f>
        <v>0</v>
      </c>
      <c r="J30" s="306" t="n">
        <f aca="false">SUM($G82:J82)</f>
        <v>0</v>
      </c>
      <c r="K30" s="306" t="n">
        <f aca="false">SUM($G82:K82)</f>
        <v>0</v>
      </c>
      <c r="L30" s="306" t="n">
        <f aca="false">SUM($G82:L82)</f>
        <v>0</v>
      </c>
      <c r="M30" s="306" t="n">
        <f aca="false">SUM($G82:M82)</f>
        <v>0</v>
      </c>
      <c r="N30" s="306" t="n">
        <f aca="false">SUM($G82:N82)</f>
        <v>0</v>
      </c>
      <c r="O30" s="306" t="n">
        <f aca="false">SUM($G82:O82)</f>
        <v>0</v>
      </c>
      <c r="P30" s="306" t="n">
        <f aca="false">SUM($G82:P82)</f>
        <v>0</v>
      </c>
      <c r="Q30" s="306" t="n">
        <f aca="false">SUM($G82:Q82)</f>
        <v>0</v>
      </c>
      <c r="R30" s="306" t="n">
        <f aca="false">SUM($G82:R82)</f>
        <v>0</v>
      </c>
      <c r="S30" s="306" t="n">
        <f aca="false">SUM($G82:S82)</f>
        <v>0</v>
      </c>
      <c r="T30" s="306" t="n">
        <f aca="false">SUM($G82:T82)</f>
        <v>0</v>
      </c>
      <c r="U30" s="306" t="n">
        <f aca="false">SUM($G82:U82)</f>
        <v>0</v>
      </c>
      <c r="V30" s="306" t="n">
        <f aca="false">SUM($G82:V82)</f>
        <v>0</v>
      </c>
      <c r="W30" s="306" t="n">
        <f aca="false">SUM($G82:W82)</f>
        <v>0</v>
      </c>
      <c r="X30" s="306" t="n">
        <f aca="false">SUM($G82:X82)</f>
        <v>0</v>
      </c>
      <c r="Y30" s="306" t="n">
        <f aca="false">SUM($G82:Y82)</f>
        <v>0</v>
      </c>
      <c r="Z30" s="306" t="n">
        <f aca="false">SUM($G82:Z82)</f>
        <v>-4150.35970157787</v>
      </c>
      <c r="AA30" s="306" t="n">
        <f aca="false">SUM($G82:AA82)</f>
        <v>-11731.728567102</v>
      </c>
      <c r="AB30" s="306" t="n">
        <f aca="false">SUM($G82:AB82)</f>
        <v>-32238.7321104528</v>
      </c>
      <c r="AC30" s="304"/>
      <c r="AE30" s="874" t="n">
        <f aca="false">AE29+1</f>
        <v>24</v>
      </c>
    </row>
    <row r="31" customFormat="false" ht="12.75" hidden="false" customHeight="false" outlineLevel="0" collapsed="false">
      <c r="A31" s="37"/>
      <c r="B31" s="39" t="s">
        <v>931</v>
      </c>
      <c r="D31" s="39"/>
      <c r="E31" s="39"/>
      <c r="F31" s="61" t="n">
        <f aca="false">SUM(F27:F30)</f>
        <v>0</v>
      </c>
      <c r="G31" s="61" t="n">
        <f aca="false">SUM(G27:G30)</f>
        <v>6637.97008564951</v>
      </c>
      <c r="H31" s="61" t="n">
        <f aca="false">SUM(H27:H30)</f>
        <v>29130.5128272317</v>
      </c>
      <c r="I31" s="61" t="n">
        <f aca="false">SUM(I27:I30)</f>
        <v>29130.5128272317</v>
      </c>
      <c r="J31" s="61" t="n">
        <f aca="false">SUM(J27:J30)</f>
        <v>24280.5566457891</v>
      </c>
      <c r="K31" s="61" t="n">
        <f aca="false">SUM(K27:K30)</f>
        <v>14968.272915683</v>
      </c>
      <c r="L31" s="61" t="n">
        <f aca="false">SUM(L27:L30)</f>
        <v>5482.37408107306</v>
      </c>
      <c r="M31" s="61" t="n">
        <f aca="false">SUM(M27:M30)</f>
        <v>874.978881836236</v>
      </c>
      <c r="N31" s="61" t="n">
        <f aca="false">SUM(N27:N30)</f>
        <v>-2474.56486483041</v>
      </c>
      <c r="O31" s="61" t="n">
        <f aca="false">SUM(O27:O30)</f>
        <v>-4828.7533743487</v>
      </c>
      <c r="P31" s="61" t="n">
        <f aca="false">SUM(P27:P30)</f>
        <v>-6022.24988102776</v>
      </c>
      <c r="Q31" s="61" t="n">
        <f aca="false">SUM(Q27:Q30)</f>
        <v>-5736.66653048216</v>
      </c>
      <c r="R31" s="61" t="n">
        <f aca="false">SUM(R27:R30)</f>
        <v>-4500.06091264569</v>
      </c>
      <c r="S31" s="61" t="n">
        <f aca="false">SUM(S27:S30)</f>
        <v>-2454.42875097066</v>
      </c>
      <c r="T31" s="61" t="n">
        <f aca="false">SUM(T27:T30)</f>
        <v>594.609010553151</v>
      </c>
      <c r="U31" s="61" t="n">
        <f aca="false">SUM(U27:U30)</f>
        <v>4718.35230778531</v>
      </c>
      <c r="V31" s="61" t="n">
        <f aca="false">SUM(V27:V30)</f>
        <v>8712.22077951229</v>
      </c>
      <c r="W31" s="61" t="n">
        <f aca="false">SUM(W27:W30)</f>
        <v>14150.811673854</v>
      </c>
      <c r="X31" s="61" t="n">
        <f aca="false">SUM(X27:X30)</f>
        <v>20388.764237328</v>
      </c>
      <c r="Y31" s="61" t="n">
        <f aca="false">SUM(Y27:Y30)</f>
        <v>27108.9249012655</v>
      </c>
      <c r="Z31" s="61" t="n">
        <f aca="false">SUM(Z27:Z30)</f>
        <v>30005.4503895078</v>
      </c>
      <c r="AA31" s="61" t="n">
        <f aca="false">SUM(AA27:AA30)</f>
        <v>30005.4503895078</v>
      </c>
      <c r="AB31" s="61" t="n">
        <f aca="false">SUM(AB27:AB30)</f>
        <v>11733.7670923385</v>
      </c>
      <c r="AC31" s="304"/>
      <c r="AE31" s="874" t="n">
        <f aca="false">AE30+1</f>
        <v>25</v>
      </c>
    </row>
    <row r="32" customFormat="false" ht="12.75" hidden="false" customHeight="false" outlineLevel="0" collapsed="false">
      <c r="A32" s="37"/>
      <c r="D32" s="39"/>
      <c r="E32" s="39"/>
      <c r="F32" s="974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304"/>
      <c r="AE32" s="874" t="n">
        <f aca="false">AE31+1</f>
        <v>26</v>
      </c>
    </row>
    <row r="33" customFormat="false" ht="12.75" hidden="false" customHeight="false" outlineLevel="0" collapsed="false">
      <c r="A33" s="37" t="s">
        <v>932</v>
      </c>
      <c r="D33" s="39"/>
      <c r="E33" s="39"/>
      <c r="F33" s="61" t="n">
        <f aca="false">SUM(F24,F31)</f>
        <v>0</v>
      </c>
      <c r="G33" s="61" t="n">
        <f aca="false">SUM(G24,G31)</f>
        <v>6637.97008564951</v>
      </c>
      <c r="H33" s="61" t="n">
        <f aca="false">SUM(H24,H31)</f>
        <v>56348.7309319639</v>
      </c>
      <c r="I33" s="61" t="n">
        <f aca="false">SUM(I24,I31)</f>
        <v>124644.759668103</v>
      </c>
      <c r="J33" s="61" t="n">
        <f aca="false">SUM(J24,J31)</f>
        <v>121708.04846225</v>
      </c>
      <c r="K33" s="61" t="n">
        <f aca="false">SUM(K24,K31)</f>
        <v>110294.143400275</v>
      </c>
      <c r="L33" s="61" t="n">
        <f aca="false">SUM(L24,L31)</f>
        <v>97785.4037905268</v>
      </c>
      <c r="M33" s="61" t="n">
        <f aca="false">SUM(M24,M31)</f>
        <v>86515.6029570728</v>
      </c>
      <c r="N33" s="61" t="n">
        <f aca="false">SUM(N24,N31)</f>
        <v>74875.5998291547</v>
      </c>
      <c r="O33" s="61" t="n">
        <f aca="false">SUM(O24,O31)</f>
        <v>63127.387999476</v>
      </c>
      <c r="P33" s="61" t="n">
        <f aca="false">SUM(P24,P31)</f>
        <v>51756.4995209977</v>
      </c>
      <c r="Q33" s="61" t="n">
        <f aca="false">SUM(Q24,Q31)</f>
        <v>43641.9939826288</v>
      </c>
      <c r="R33" s="61" t="n">
        <f aca="false">SUM(R24,R31)</f>
        <v>38223.2558198899</v>
      </c>
      <c r="S33" s="61" t="n">
        <f aca="false">SUM(S24,S31)</f>
        <v>33301.4954865364</v>
      </c>
      <c r="T33" s="61" t="n">
        <f aca="false">SUM(T24,T31)</f>
        <v>28019.2744228242</v>
      </c>
      <c r="U33" s="61" t="n">
        <f aca="false">SUM(U24,U31)</f>
        <v>22400.3858468639</v>
      </c>
      <c r="V33" s="61" t="n">
        <f aca="false">SUM(V24,V31)</f>
        <v>20043.8629210096</v>
      </c>
      <c r="W33" s="61" t="n">
        <f aca="false">SUM(W24,W31)</f>
        <v>18904.2580094113</v>
      </c>
      <c r="X33" s="61" t="n">
        <f aca="false">SUM(X24,X31)</f>
        <v>20388.764237328</v>
      </c>
      <c r="Y33" s="61" t="n">
        <f aca="false">SUM(Y24,Y31)</f>
        <v>27108.9249012655</v>
      </c>
      <c r="Z33" s="61" t="n">
        <f aca="false">SUM(Z24,Z31)</f>
        <v>30005.4503895078</v>
      </c>
      <c r="AA33" s="61" t="n">
        <f aca="false">SUM(AA24,AA31)</f>
        <v>30005.4503895078</v>
      </c>
      <c r="AB33" s="61" t="n">
        <f aca="false">SUM(AB24,AB31)</f>
        <v>11733.7670923385</v>
      </c>
      <c r="AC33" s="304"/>
      <c r="AE33" s="874" t="n">
        <f aca="false">AE32+1</f>
        <v>27</v>
      </c>
    </row>
    <row r="34" customFormat="false" ht="12.75" hidden="false" customHeight="false" outlineLevel="0" collapsed="false">
      <c r="A34" s="37"/>
      <c r="D34" s="39"/>
      <c r="E34" s="39"/>
      <c r="F34" s="974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304"/>
      <c r="AE34" s="874" t="n">
        <f aca="false">AE33+1</f>
        <v>28</v>
      </c>
    </row>
    <row r="35" customFormat="false" ht="12.75" hidden="false" customHeight="false" outlineLevel="0" collapsed="false">
      <c r="A35" s="975" t="s">
        <v>933</v>
      </c>
      <c r="B35" s="976"/>
      <c r="C35" s="976"/>
      <c r="D35" s="976"/>
      <c r="E35" s="976"/>
      <c r="F35" s="977" t="n">
        <f aca="false">F17-F33</f>
        <v>0</v>
      </c>
      <c r="G35" s="977" t="n">
        <f aca="false">G17-G33</f>
        <v>0</v>
      </c>
      <c r="H35" s="977" t="n">
        <f aca="false">H17-H33</f>
        <v>0</v>
      </c>
      <c r="I35" s="977" t="n">
        <f aca="false">I17-I33</f>
        <v>0</v>
      </c>
      <c r="J35" s="977" t="n">
        <f aca="false">J17-J33</f>
        <v>0</v>
      </c>
      <c r="K35" s="977" t="n">
        <f aca="false">K17-K33</f>
        <v>0</v>
      </c>
      <c r="L35" s="977" t="n">
        <f aca="false">L17-L33</f>
        <v>0</v>
      </c>
      <c r="M35" s="977" t="n">
        <f aca="false">M17-M33</f>
        <v>0</v>
      </c>
      <c r="N35" s="977" t="n">
        <f aca="false">N17-N33</f>
        <v>0</v>
      </c>
      <c r="O35" s="977" t="n">
        <f aca="false">O17-O33</f>
        <v>0</v>
      </c>
      <c r="P35" s="977" t="n">
        <f aca="false">P17-P33</f>
        <v>0</v>
      </c>
      <c r="Q35" s="977" t="n">
        <f aca="false">Q17-Q33</f>
        <v>0</v>
      </c>
      <c r="R35" s="977" t="n">
        <f aca="false">R17-R33</f>
        <v>0</v>
      </c>
      <c r="S35" s="977" t="n">
        <f aca="false">S17-S33</f>
        <v>0</v>
      </c>
      <c r="T35" s="977" t="n">
        <f aca="false">T17-T33</f>
        <v>0</v>
      </c>
      <c r="U35" s="977" t="n">
        <f aca="false">U17-U33</f>
        <v>0</v>
      </c>
      <c r="V35" s="977" t="n">
        <f aca="false">V17-V33</f>
        <v>0</v>
      </c>
      <c r="W35" s="977" t="n">
        <f aca="false">W17-W33</f>
        <v>0</v>
      </c>
      <c r="X35" s="977" t="n">
        <f aca="false">X17-X33</f>
        <v>0</v>
      </c>
      <c r="Y35" s="977" t="n">
        <f aca="false">Y17-Y33</f>
        <v>0</v>
      </c>
      <c r="Z35" s="977" t="n">
        <f aca="false">Z17-Z33</f>
        <v>0</v>
      </c>
      <c r="AA35" s="977" t="n">
        <f aca="false">AA17-AA33</f>
        <v>0</v>
      </c>
      <c r="AB35" s="977" t="n">
        <f aca="false">AB17-AB33</f>
        <v>0</v>
      </c>
      <c r="AC35" s="978" t="n">
        <f aca="false">SUM(F35:AB35)</f>
        <v>0</v>
      </c>
      <c r="AE35" s="874" t="n">
        <f aca="false">AE34+1</f>
        <v>29</v>
      </c>
    </row>
    <row r="36" customFormat="false" ht="12.75" hidden="false" customHeight="false" outlineLevel="0" collapsed="false">
      <c r="A36" s="37"/>
      <c r="D36" s="39"/>
      <c r="E36" s="39"/>
      <c r="F36" s="39"/>
      <c r="G36" s="315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298"/>
      <c r="AE36" s="39"/>
    </row>
    <row r="37" customFormat="false" ht="13.5" hidden="false" customHeight="false" outlineLevel="0" collapsed="false">
      <c r="A37" s="950" t="s">
        <v>893</v>
      </c>
      <c r="B37" s="951"/>
      <c r="C37" s="951"/>
      <c r="D37" s="22"/>
      <c r="E37" s="22"/>
      <c r="F37" s="22"/>
      <c r="G37" s="50" t="n">
        <f aca="false">G$7</f>
        <v>1998</v>
      </c>
      <c r="H37" s="50" t="n">
        <f aca="false">H$7</f>
        <v>1999</v>
      </c>
      <c r="I37" s="50" t="n">
        <f aca="false">I$7</f>
        <v>2000</v>
      </c>
      <c r="J37" s="50" t="n">
        <f aca="false">J$7</f>
        <v>2001</v>
      </c>
      <c r="K37" s="50" t="n">
        <f aca="false">K$7</f>
        <v>2002</v>
      </c>
      <c r="L37" s="50" t="n">
        <f aca="false">L$7</f>
        <v>2003</v>
      </c>
      <c r="M37" s="50" t="n">
        <f aca="false">M$7</f>
        <v>2004</v>
      </c>
      <c r="N37" s="50" t="n">
        <f aca="false">N$7</f>
        <v>2005</v>
      </c>
      <c r="O37" s="50" t="n">
        <f aca="false">O$7</f>
        <v>2006</v>
      </c>
      <c r="P37" s="50" t="n">
        <f aca="false">P$7</f>
        <v>2007</v>
      </c>
      <c r="Q37" s="50" t="n">
        <f aca="false">Q$7</f>
        <v>2008</v>
      </c>
      <c r="R37" s="50" t="n">
        <f aca="false">R$7</f>
        <v>2009</v>
      </c>
      <c r="S37" s="50" t="n">
        <f aca="false">S$7</f>
        <v>2010</v>
      </c>
      <c r="T37" s="50" t="n">
        <f aca="false">T$7</f>
        <v>2011</v>
      </c>
      <c r="U37" s="50" t="n">
        <f aca="false">U$7</f>
        <v>2012</v>
      </c>
      <c r="V37" s="50" t="n">
        <f aca="false">V$7</f>
        <v>2013</v>
      </c>
      <c r="W37" s="50" t="n">
        <f aca="false">W$7</f>
        <v>2014</v>
      </c>
      <c r="X37" s="50" t="n">
        <f aca="false">X$7</f>
        <v>2015</v>
      </c>
      <c r="Y37" s="50" t="n">
        <f aca="false">Y$7</f>
        <v>2016</v>
      </c>
      <c r="Z37" s="50" t="n">
        <f aca="false">Z$7</f>
        <v>2017</v>
      </c>
      <c r="AA37" s="50" t="n">
        <f aca="false">AA$7</f>
        <v>2018</v>
      </c>
      <c r="AB37" s="50" t="n">
        <f aca="false">AB$7</f>
        <v>2019</v>
      </c>
      <c r="AC37" s="293" t="str">
        <f aca="false">AC$7</f>
        <v>Totals</v>
      </c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</row>
    <row r="38" customFormat="false" ht="12.75" hidden="false" customHeight="false" outlineLevel="0" collapsed="false">
      <c r="A38" s="285" t="s">
        <v>934</v>
      </c>
      <c r="D38" s="39"/>
      <c r="E38" s="39"/>
      <c r="F38" s="39"/>
      <c r="G38" s="61" t="n">
        <f aca="false">IF(G$37&lt;YEAR(Startops1),0,HLOOKUP(G$37,CF_Table,CF!$AB$18))</f>
        <v>0</v>
      </c>
      <c r="H38" s="61" t="n">
        <f aca="false">IF(H$37&lt;YEAR(Startops1),0,HLOOKUP(H$37,CF_Table,CF!$AB$18))</f>
        <v>0</v>
      </c>
      <c r="I38" s="61" t="n">
        <f aca="false">IF(I$37&lt;YEAR(Startops1),0,HLOOKUP(I$37,CF_Table,CF!$AB$18))</f>
        <v>0</v>
      </c>
      <c r="J38" s="61" t="n">
        <f aca="false">IF(J$37&lt;YEAR(Startops1),0,HLOOKUP(J$37,CF_Table,CF!$AB$18))</f>
        <v>8464.08082245497</v>
      </c>
      <c r="K38" s="61" t="n">
        <f aca="false">IF(K$37&lt;YEAR(Startops1),0,HLOOKUP(K$37,CF_Table,CF!$AB$18))</f>
        <v>14255.1350679866</v>
      </c>
      <c r="L38" s="61" t="n">
        <f aca="false">IF(L$37&lt;YEAR(Startops1),0,HLOOKUP(L$37,CF_Table,CF!$AB$18))</f>
        <v>14692.6643266972</v>
      </c>
      <c r="M38" s="61" t="n">
        <f aca="false">IF(M$37&lt;YEAR(Startops1),0,HLOOKUP(M$37,CF_Table,CF!$AB$18))</f>
        <v>15166.7261290266</v>
      </c>
      <c r="N38" s="61" t="n">
        <f aca="false">IF(N$37&lt;YEAR(Startops1),0,HLOOKUP(N$37,CF_Table,CF!$AB$18))</f>
        <v>15561.1605933461</v>
      </c>
      <c r="O38" s="61" t="n">
        <f aca="false">IF(O$37&lt;YEAR(Startops1),0,HLOOKUP(O$37,CF_Table,CF!$AB$18))</f>
        <v>15999.6369712766</v>
      </c>
      <c r="P38" s="61" t="n">
        <f aca="false">IF(P$37&lt;YEAR(Startops1),0,HLOOKUP(P$37,CF_Table,CF!$AB$18))</f>
        <v>16440.5194342833</v>
      </c>
      <c r="Q38" s="61" t="n">
        <f aca="false">IF(Q$37&lt;YEAR(Startops1),0,HLOOKUP(Q$37,CF_Table,CF!$AB$18))</f>
        <v>16928.9337579163</v>
      </c>
      <c r="R38" s="61" t="n">
        <f aca="false">IF(R$37&lt;YEAR(Startops1),0,HLOOKUP(R$37,CF_Table,CF!$AB$18))</f>
        <v>17329.6696542016</v>
      </c>
      <c r="S38" s="61" t="n">
        <f aca="false">IF(S$37&lt;YEAR(Startops1),0,HLOOKUP(S$37,CF_Table,CF!$AB$18))</f>
        <v>17779.8886398872</v>
      </c>
      <c r="T38" s="61" t="n">
        <f aca="false">IF(T$37&lt;YEAR(Startops1),0,HLOOKUP(T$37,CF_Table,CF!$AB$18))</f>
        <v>18234.9521276381</v>
      </c>
      <c r="U38" s="61" t="n">
        <f aca="false">IF(U$37&lt;YEAR(Startops1),0,HLOOKUP(U$37,CF_Table,CF!$AB$18))</f>
        <v>18746.6664001565</v>
      </c>
      <c r="V38" s="61" t="n">
        <f aca="false">IF(V$37&lt;YEAR(Startops1),0,HLOOKUP(V$37,CF_Table,CF!$AB$18))</f>
        <v>19166.3462288322</v>
      </c>
      <c r="W38" s="61" t="n">
        <f aca="false">IF(W$37&lt;YEAR(Startops1),0,HLOOKUP(W$37,CF_Table,CF!$AB$18))</f>
        <v>19649.6774311726</v>
      </c>
      <c r="X38" s="61" t="n">
        <f aca="false">IF(X$37&lt;YEAR(Startops1),0,HLOOKUP(X$37,CF_Table,CF!$AB$18))</f>
        <v>20151.1595364448</v>
      </c>
      <c r="Y38" s="61" t="n">
        <f aca="false">IF(Y$37&lt;YEAR(Startops1),0,HLOOKUP(Y$37,CF_Table,CF!$AB$18))</f>
        <v>20729.4604535379</v>
      </c>
      <c r="Z38" s="61" t="n">
        <f aca="false">IF(Z$37&lt;YEAR(Startops1),0,HLOOKUP(Z$37,CF_Table,CF!$AB$18))</f>
        <v>21219.9335601026</v>
      </c>
      <c r="AA38" s="61" t="n">
        <f aca="false">IF(AA$37&lt;YEAR(Startops1),0,HLOOKUP(AA$37,CF_Table,CF!$AB$18))</f>
        <v>21790.3124789758</v>
      </c>
      <c r="AB38" s="61" t="n">
        <f aca="false">IF(AB$37&lt;YEAR(Startops1),0,HLOOKUP(AB$37,CF_Table,CF!$AB$18))</f>
        <v>7226.4497213104</v>
      </c>
      <c r="AC38" s="304" t="n">
        <f aca="false">SUM(G38:AB38)</f>
        <v>319533.373335247</v>
      </c>
    </row>
    <row r="39" customFormat="false" ht="12.75" hidden="false" customHeight="false" outlineLevel="0" collapsed="false">
      <c r="A39" s="37" t="s">
        <v>899</v>
      </c>
      <c r="D39" s="39"/>
      <c r="E39" s="39"/>
      <c r="F39" s="39"/>
      <c r="G39" s="61" t="n">
        <f aca="false">IF(G$37&lt;YEAR(Startops1),0,-HLOOKUP(G$37,CF_Table,CF!$AB$34))</f>
        <v>0</v>
      </c>
      <c r="H39" s="61" t="n">
        <f aca="false">IF(H$37&lt;YEAR(Startops1),0,-HLOOKUP(H$37,CF_Table,CF!$AB$34))</f>
        <v>0</v>
      </c>
      <c r="I39" s="61" t="n">
        <f aca="false">IF(I$37&lt;YEAR(Startops1),0,-HLOOKUP(I$37,CF_Table,CF!$AB$34))</f>
        <v>0</v>
      </c>
      <c r="J39" s="61" t="n">
        <f aca="false">IF(J$37&lt;YEAR(Startops1),0,-HLOOKUP(J$37,CF_Table,CF!$AB$34))</f>
        <v>-1726.03747483432</v>
      </c>
      <c r="K39" s="61" t="n">
        <f aca="false">IF(K$37&lt;YEAR(Startops1),0,-HLOOKUP(K$37,CF_Table,CF!$AB$34))</f>
        <v>-2152.49508548174</v>
      </c>
      <c r="L39" s="61" t="n">
        <f aca="false">IF(L$37&lt;YEAR(Startops1),0,-HLOOKUP(L$37,CF_Table,CF!$AB$34))</f>
        <v>-3116.0917033311</v>
      </c>
      <c r="M39" s="61" t="n">
        <f aca="false">IF(M$37&lt;YEAR(Startops1),0,-HLOOKUP(M$37,CF_Table,CF!$AB$34))</f>
        <v>-2685.58951142806</v>
      </c>
      <c r="N39" s="61" t="n">
        <f aca="false">IF(N$37&lt;YEAR(Startops1),0,-HLOOKUP(N$37,CF_Table,CF!$AB$34))</f>
        <v>-2296.62193942175</v>
      </c>
      <c r="O39" s="61" t="n">
        <f aca="false">IF(O$37&lt;YEAR(Startops1),0,-HLOOKUP(O$37,CF_Table,CF!$AB$34))</f>
        <v>-2456.4268675285</v>
      </c>
      <c r="P39" s="61" t="n">
        <f aca="false">IF(P$37&lt;YEAR(Startops1),0,-HLOOKUP(P$37,CF_Table,CF!$AB$34))</f>
        <v>-2452.54925722092</v>
      </c>
      <c r="Q39" s="61" t="n">
        <f aca="false">IF(Q$37&lt;YEAR(Startops1),0,-HLOOKUP(Q$37,CF_Table,CF!$AB$34))</f>
        <v>-2743.26083585639</v>
      </c>
      <c r="R39" s="61" t="n">
        <f aca="false">IF(R$37&lt;YEAR(Startops1),0,-HLOOKUP(R$37,CF_Table,CF!$AB$34))</f>
        <v>-2555.79734649026</v>
      </c>
      <c r="S39" s="61" t="n">
        <f aca="false">IF(S$37&lt;YEAR(Startops1),0,-HLOOKUP(S$37,CF_Table,CF!$AB$34))</f>
        <v>-2708.880095247</v>
      </c>
      <c r="T39" s="61" t="n">
        <f aca="false">IF(T$37&lt;YEAR(Startops1),0,-HLOOKUP(T$37,CF_Table,CF!$AB$34))</f>
        <v>-2688.63642366113</v>
      </c>
      <c r="U39" s="61" t="n">
        <f aca="false">IF(U$37&lt;YEAR(Startops1),0,-HLOOKUP(U$37,CF_Table,CF!$AB$34))</f>
        <v>-2756.43197959719</v>
      </c>
      <c r="V39" s="61" t="n">
        <f aca="false">IF(V$37&lt;YEAR(Startops1),0,-HLOOKUP(V$37,CF_Table,CF!$AB$34))</f>
        <v>-4090.03169208576</v>
      </c>
      <c r="W39" s="61" t="n">
        <f aca="false">IF(W$37&lt;YEAR(Startops1),0,-HLOOKUP(W$37,CF_Table,CF!$AB$34))</f>
        <v>-3014.23033143617</v>
      </c>
      <c r="X39" s="61" t="n">
        <f aca="false">IF(X$37&lt;YEAR(Startops1),0,-HLOOKUP(X$37,CF_Table,CF!$AB$34))</f>
        <v>-2971.32339525099</v>
      </c>
      <c r="Y39" s="61" t="n">
        <f aca="false">IF(Y$37&lt;YEAR(Startops1),0,-HLOOKUP(Y$37,CF_Table,CF!$AB$34))</f>
        <v>-3082.82704559384</v>
      </c>
      <c r="Z39" s="61" t="n">
        <f aca="false">IF(Z$37&lt;YEAR(Startops1),0,-HLOOKUP(Z$37,CF_Table,CF!$AB$34))</f>
        <v>-3129.84112432897</v>
      </c>
      <c r="AA39" s="61" t="n">
        <f aca="false">IF(AA$37&lt;YEAR(Startops1),0,-HLOOKUP(AA$37,CF_Table,CF!$AB$34))</f>
        <v>-3191.10209829644</v>
      </c>
      <c r="AB39" s="61" t="n">
        <f aca="false">IF(AB$37&lt;YEAR(Startops1),0,-HLOOKUP(AB$37,CF_Table,CF!$AB$34))</f>
        <v>-1092.8921652229</v>
      </c>
      <c r="AC39" s="304" t="n">
        <f aca="false">SUM(G39:AB39)</f>
        <v>-50911.0663723134</v>
      </c>
      <c r="AD39" s="19"/>
    </row>
    <row r="40" customFormat="false" ht="12.75" hidden="false" customHeight="false" outlineLevel="0" collapsed="false">
      <c r="A40" s="37" t="s">
        <v>900</v>
      </c>
      <c r="D40" s="39"/>
      <c r="E40" s="39"/>
      <c r="F40" s="39"/>
      <c r="G40" s="306" t="n">
        <f aca="false">IF(G$37&lt;YEAR(Startops1),0,HLOOKUP(G$37,CF_Table,CF!$AB$41))</f>
        <v>0</v>
      </c>
      <c r="H40" s="306" t="n">
        <f aca="false">IF(H$37&lt;YEAR(Startops1),0,HLOOKUP(H$37,CF_Table,CF!$AB$41))</f>
        <v>0</v>
      </c>
      <c r="I40" s="306" t="n">
        <f aca="false">IF(I$37&lt;YEAR(Startops1),0,HLOOKUP(I$37,CF_Table,CF!$AB$41))</f>
        <v>0</v>
      </c>
      <c r="J40" s="306" t="n">
        <f aca="false">IF(J$37&lt;YEAR(Startops1),0,HLOOKUP(J$37,CF_Table,CF!$AB$41))</f>
        <v>-1672.34528109118</v>
      </c>
      <c r="K40" s="306" t="n">
        <f aca="false">IF(K$37&lt;YEAR(Startops1),0,HLOOKUP(K$37,CF_Table,CF!$AB$41))</f>
        <v>-3999.6126138015</v>
      </c>
      <c r="L40" s="306" t="n">
        <f aca="false">IF(L$37&lt;YEAR(Startops1),0,HLOOKUP(L$37,CF_Table,CF!$AB$41))</f>
        <v>-3923.60741536512</v>
      </c>
      <c r="M40" s="306" t="n">
        <f aca="false">IF(M$37&lt;YEAR(Startops1),0,HLOOKUP(M$37,CF_Table,CF!$AB$41))</f>
        <v>-405.040242357795</v>
      </c>
      <c r="N40" s="306" t="n">
        <f aca="false">IF(N$37&lt;YEAR(Startops1),0,HLOOKUP(N$37,CF_Table,CF!$AB$41))</f>
        <v>-724.869400889194</v>
      </c>
      <c r="O40" s="306" t="n">
        <f aca="false">IF(O$37&lt;YEAR(Startops1),0,HLOOKUP(O$37,CF_Table,CF!$AB$41))</f>
        <v>-974.050667020819</v>
      </c>
      <c r="P40" s="306" t="n">
        <f aca="false">IF(P$37&lt;YEAR(Startops1),0,HLOOKUP(P$37,CF_Table,CF!$AB$41))</f>
        <v>-1236.00950121567</v>
      </c>
      <c r="Q40" s="306" t="n">
        <f aca="false">IF(Q$37&lt;YEAR(Startops1),0,HLOOKUP(Q$37,CF_Table,CF!$AB$41))</f>
        <v>-1470.61957705358</v>
      </c>
      <c r="R40" s="306" t="n">
        <f aca="false">IF(R$37&lt;YEAR(Startops1),0,HLOOKUP(R$37,CF_Table,CF!$AB$41))</f>
        <v>-1690.53419250969</v>
      </c>
      <c r="S40" s="306" t="n">
        <f aca="false">IF(S$37&lt;YEAR(Startops1),0,HLOOKUP(S$37,CF_Table,CF!$AB$41))</f>
        <v>-1729.17511514053</v>
      </c>
      <c r="T40" s="306" t="n">
        <f aca="false">IF(T$37&lt;YEAR(Startops1),0,HLOOKUP(T$37,CF_Table,CF!$AB$41))</f>
        <v>-1665.8960419561</v>
      </c>
      <c r="U40" s="306" t="n">
        <f aca="false">IF(U$37&lt;YEAR(Startops1),0,HLOOKUP(U$37,CF_Table,CF!$AB$41))</f>
        <v>-1618.55465170049</v>
      </c>
      <c r="V40" s="306" t="n">
        <f aca="false">IF(V$37&lt;YEAR(Startops1),0,HLOOKUP(V$37,CF_Table,CF!$AB$41))</f>
        <v>-1574.72735823104</v>
      </c>
      <c r="W40" s="306" t="n">
        <f aca="false">IF(W$37&lt;YEAR(Startops1),0,HLOOKUP(W$37,CF_Table,CF!$AB$41))</f>
        <v>-1370.62933736077</v>
      </c>
      <c r="X40" s="306" t="n">
        <f aca="false">IF(X$37&lt;YEAR(Startops1),0,HLOOKUP(X$37,CF_Table,CF!$AB$41))</f>
        <v>-1079.44051665741</v>
      </c>
      <c r="Y40" s="306" t="n">
        <f aca="false">IF(Y$37&lt;YEAR(Startops1),0,HLOOKUP(Y$37,CF_Table,CF!$AB$41))</f>
        <v>-620.683514781294</v>
      </c>
      <c r="Z40" s="306" t="n">
        <f aca="false">IF(Z$37&lt;YEAR(Startops1),0,HLOOKUP(Z$37,CF_Table,CF!$AB$41))</f>
        <v>31.3545300248106</v>
      </c>
      <c r="AA40" s="306" t="n">
        <f aca="false">IF(AA$37&lt;YEAR(Startops1),0,HLOOKUP(AA$37,CF_Table,CF!$AB$41))</f>
        <v>492.210816046157</v>
      </c>
      <c r="AB40" s="306" t="n">
        <f aca="false">IF(AB$37&lt;YEAR(Startops1),0,HLOOKUP(AB$37,CF_Table,CF!$AB$41))</f>
        <v>269.413609218463</v>
      </c>
      <c r="AC40" s="307" t="n">
        <f aca="false">SUM(G40:AB40)</f>
        <v>-24962.8164718428</v>
      </c>
      <c r="AD40" s="503"/>
    </row>
    <row r="41" customFormat="false" ht="12.75" hidden="false" customHeight="false" outlineLevel="0" collapsed="false">
      <c r="A41" s="37" t="s">
        <v>935</v>
      </c>
      <c r="D41" s="39"/>
      <c r="E41" s="39"/>
      <c r="F41" s="39"/>
      <c r="G41" s="61" t="n">
        <f aca="false">SUM(G38:G40)</f>
        <v>0</v>
      </c>
      <c r="H41" s="61" t="n">
        <f aca="false">SUM(H38:H40)</f>
        <v>0</v>
      </c>
      <c r="I41" s="61" t="n">
        <f aca="false">SUM(I38:I40)</f>
        <v>0</v>
      </c>
      <c r="J41" s="61" t="n">
        <f aca="false">SUM(J38:J40)</f>
        <v>5065.69806652947</v>
      </c>
      <c r="K41" s="61" t="n">
        <f aca="false">SUM(K38:K40)</f>
        <v>8103.02736870335</v>
      </c>
      <c r="L41" s="61" t="n">
        <f aca="false">SUM(L38:L40)</f>
        <v>7652.96520800094</v>
      </c>
      <c r="M41" s="61" t="n">
        <f aca="false">SUM(M38:M40)</f>
        <v>12076.0963752407</v>
      </c>
      <c r="N41" s="61" t="n">
        <f aca="false">SUM(N38:N40)</f>
        <v>12539.6692530351</v>
      </c>
      <c r="O41" s="61" t="n">
        <f aca="false">SUM(O38:O40)</f>
        <v>12569.1594367273</v>
      </c>
      <c r="P41" s="61" t="n">
        <f aca="false">SUM(P38:P40)</f>
        <v>12751.9606758467</v>
      </c>
      <c r="Q41" s="61" t="n">
        <f aca="false">SUM(Q38:Q40)</f>
        <v>12715.0533450063</v>
      </c>
      <c r="R41" s="61" t="n">
        <f aca="false">SUM(R38:R40)</f>
        <v>13083.3381152017</v>
      </c>
      <c r="S41" s="61" t="n">
        <f aca="false">SUM(S38:S40)</f>
        <v>13341.8334294997</v>
      </c>
      <c r="T41" s="61" t="n">
        <f aca="false">SUM(T38:T40)</f>
        <v>13880.4196620209</v>
      </c>
      <c r="U41" s="61" t="n">
        <f aca="false">SUM(U38:U40)</f>
        <v>14371.6797688588</v>
      </c>
      <c r="V41" s="61" t="n">
        <f aca="false">SUM(V38:V40)</f>
        <v>13501.5871785154</v>
      </c>
      <c r="W41" s="61" t="n">
        <f aca="false">SUM(W38:W40)</f>
        <v>15264.8177623756</v>
      </c>
      <c r="X41" s="61" t="n">
        <f aca="false">SUM(X38:X40)</f>
        <v>16100.3956245364</v>
      </c>
      <c r="Y41" s="61" t="n">
        <f aca="false">SUM(Y38:Y40)</f>
        <v>17025.9498931628</v>
      </c>
      <c r="Z41" s="61" t="n">
        <f aca="false">SUM(Z38:Z40)</f>
        <v>18121.4469657984</v>
      </c>
      <c r="AA41" s="61" t="n">
        <f aca="false">SUM(AA38:AA40)</f>
        <v>19091.4211967255</v>
      </c>
      <c r="AB41" s="61" t="n">
        <f aca="false">SUM(AB38:AB40)</f>
        <v>6402.97116530597</v>
      </c>
      <c r="AC41" s="304" t="n">
        <f aca="false">SUM(G41:AB41)</f>
        <v>243659.490491091</v>
      </c>
    </row>
    <row r="42" customFormat="false" ht="12.75" hidden="false" customHeight="false" outlineLevel="0" collapsed="false">
      <c r="A42" s="37"/>
      <c r="D42" s="39"/>
      <c r="E42" s="39"/>
      <c r="F42" s="39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304" t="s">
        <v>452</v>
      </c>
    </row>
    <row r="43" customFormat="false" ht="12.75" hidden="false" customHeight="false" outlineLevel="0" collapsed="false">
      <c r="A43" s="37" t="s">
        <v>28</v>
      </c>
      <c r="D43" s="39"/>
      <c r="E43" s="39"/>
      <c r="F43" s="39"/>
      <c r="G43" s="61" t="n">
        <f aca="false">IF(G$37&lt;YEAR(Startops1),0,HLOOKUP(G$37,CF_Table,CF!$AB$44))</f>
        <v>0</v>
      </c>
      <c r="H43" s="61" t="n">
        <f aca="false">IF(H$37&lt;YEAR(Startops1),0,HLOOKUP(H$37,CF_Table,CF!$AB$44))</f>
        <v>0</v>
      </c>
      <c r="I43" s="61" t="n">
        <f aca="false">IF(I$37&lt;YEAR(Startops1),0,HLOOKUP(I$37,CF_Table,CF!$AB$44))</f>
        <v>0</v>
      </c>
      <c r="J43" s="61" t="n">
        <f aca="false">IF(J$37&lt;YEAR(Startops1),0,HLOOKUP(J$37,CF_Table,CF!$AB$44))</f>
        <v>-5267.16686015385</v>
      </c>
      <c r="K43" s="61" t="n">
        <f aca="false">IF(K$37&lt;YEAR(Startops1),0,HLOOKUP(K$37,CF_Table,CF!$AB$44))</f>
        <v>-6320.60023218462</v>
      </c>
      <c r="L43" s="61" t="n">
        <f aca="false">IF(L$37&lt;YEAR(Startops1),0,HLOOKUP(L$37,CF_Table,CF!$AB$44))</f>
        <v>-6320.60023218462</v>
      </c>
      <c r="M43" s="61" t="n">
        <f aca="false">IF(M$37&lt;YEAR(Startops1),0,HLOOKUP(M$37,CF_Table,CF!$AB$44))</f>
        <v>-6320.60023218462</v>
      </c>
      <c r="N43" s="61" t="n">
        <f aca="false">IF(N$37&lt;YEAR(Startops1),0,HLOOKUP(N$37,CF_Table,CF!$AB$44))</f>
        <v>-6320.60023218462</v>
      </c>
      <c r="O43" s="61" t="n">
        <f aca="false">IF(O$37&lt;YEAR(Startops1),0,HLOOKUP(O$37,CF_Table,CF!$AB$44))</f>
        <v>-6320.60023218462</v>
      </c>
      <c r="P43" s="61" t="n">
        <f aca="false">IF(P$37&lt;YEAR(Startops1),0,HLOOKUP(P$37,CF_Table,CF!$AB$44))</f>
        <v>-6320.60023218462</v>
      </c>
      <c r="Q43" s="61" t="n">
        <f aca="false">IF(Q$37&lt;YEAR(Startops1),0,HLOOKUP(Q$37,CF_Table,CF!$AB$44))</f>
        <v>-6320.60023218462</v>
      </c>
      <c r="R43" s="61" t="n">
        <f aca="false">IF(R$37&lt;YEAR(Startops1),0,HLOOKUP(R$37,CF_Table,CF!$AB$44))</f>
        <v>-6320.60023218462</v>
      </c>
      <c r="S43" s="61" t="n">
        <f aca="false">IF(S$37&lt;YEAR(Startops1),0,HLOOKUP(S$37,CF_Table,CF!$AB$44))</f>
        <v>-6320.60023218462</v>
      </c>
      <c r="T43" s="61" t="n">
        <f aca="false">IF(T$37&lt;YEAR(Startops1),0,HLOOKUP(T$37,CF_Table,CF!$AB$44))</f>
        <v>-6320.60023218462</v>
      </c>
      <c r="U43" s="61" t="n">
        <f aca="false">IF(U$37&lt;YEAR(Startops1),0,HLOOKUP(U$37,CF_Table,CF!$AB$44))</f>
        <v>-6320.60023218462</v>
      </c>
      <c r="V43" s="61" t="n">
        <f aca="false">IF(V$37&lt;YEAR(Startops1),0,HLOOKUP(V$37,CF_Table,CF!$AB$44))</f>
        <v>-6320.60023218462</v>
      </c>
      <c r="W43" s="61" t="n">
        <f aca="false">IF(W$37&lt;YEAR(Startops1),0,HLOOKUP(W$37,CF_Table,CF!$AB$44))</f>
        <v>-6320.60023218462</v>
      </c>
      <c r="X43" s="61" t="n">
        <f aca="false">IF(X$37&lt;YEAR(Startops1),0,HLOOKUP(X$37,CF_Table,CF!$AB$44))</f>
        <v>-6320.60023218462</v>
      </c>
      <c r="Y43" s="61" t="n">
        <f aca="false">IF(Y$37&lt;YEAR(Startops1),0,HLOOKUP(Y$37,CF_Table,CF!$AB$44))</f>
        <v>-6320.60023218462</v>
      </c>
      <c r="Z43" s="61" t="n">
        <f aca="false">IF(Z$37&lt;YEAR(Startops1),0,HLOOKUP(Z$37,CF_Table,CF!$AB$44))</f>
        <v>-6320.60023218462</v>
      </c>
      <c r="AA43" s="61" t="n">
        <f aca="false">IF(AA$37&lt;YEAR(Startops1),0,HLOOKUP(AA$37,CF_Table,CF!$AB$44))</f>
        <v>-6320.60023218462</v>
      </c>
      <c r="AB43" s="61" t="n">
        <f aca="false">IF(AB$37&lt;YEAR(Startops1),0,HLOOKUP(AB$37,CF_Table,CF!$AB$44))</f>
        <v>-2106.86674406154</v>
      </c>
      <c r="AC43" s="304" t="n">
        <f aca="false">SUM(G43:AB43)</f>
        <v>-114824.237551354</v>
      </c>
    </row>
    <row r="44" customFormat="false" ht="12.75" hidden="false" customHeight="false" outlineLevel="0" collapsed="false">
      <c r="A44" s="37" t="s">
        <v>901</v>
      </c>
      <c r="D44" s="39"/>
      <c r="E44" s="39"/>
      <c r="F44" s="39"/>
      <c r="G44" s="61" t="n">
        <f aca="false">IF(G$37&lt;YEAR(Startops1),0,HLOOKUP(G$37,CF_Table,CF!$AB$47))</f>
        <v>0</v>
      </c>
      <c r="H44" s="61" t="n">
        <f aca="false">IF(H$37&lt;YEAR(Startops1),0,HLOOKUP(H$37,CF_Table,CF!$AB$47))</f>
        <v>0</v>
      </c>
      <c r="I44" s="61" t="n">
        <f aca="false">IF(I$37&lt;YEAR(Startops1),0,HLOOKUP(I$37,CF_Table,CF!$AB$47))</f>
        <v>0</v>
      </c>
      <c r="J44" s="61" t="n">
        <f aca="false">IF(J$37&lt;YEAR(Startops1),0,HLOOKUP(J$37,CF_Table,CF!$AB$47))</f>
        <v>-3484.30006534666</v>
      </c>
      <c r="K44" s="61" t="n">
        <f aca="false">IF(K$37&lt;YEAR(Startops1),0,HLOOKUP(K$37,CF_Table,CF!$AB$47))</f>
        <v>-8330.96444278677</v>
      </c>
      <c r="L44" s="61" t="n">
        <f aca="false">IF(L$37&lt;YEAR(Startops1),0,HLOOKUP(L$37,CF_Table,CF!$AB$47))</f>
        <v>-8183.73683679701</v>
      </c>
      <c r="M44" s="61" t="n">
        <f aca="false">IF(M$37&lt;YEAR(Startops1),0,HLOOKUP(M$37,CF_Table,CF!$AB$47))</f>
        <v>-7874.92829957685</v>
      </c>
      <c r="N44" s="61" t="n">
        <f aca="false">IF(N$37&lt;YEAR(Startops1),0,HLOOKUP(N$37,CF_Table,CF!$AB$47))</f>
        <v>-7246.88619934103</v>
      </c>
      <c r="O44" s="61" t="n">
        <f aca="false">IF(O$37&lt;YEAR(Startops1),0,HLOOKUP(O$37,CF_Table,CF!$AB$47))</f>
        <v>-6469.57071121993</v>
      </c>
      <c r="P44" s="61" t="n">
        <f aca="false">IF(P$37&lt;YEAR(Startops1),0,HLOOKUP(P$37,CF_Table,CF!$AB$47))</f>
        <v>-5579.15484297768</v>
      </c>
      <c r="Q44" s="61" t="n">
        <f aca="false">IF(Q$37&lt;YEAR(Startops1),0,HLOOKUP(Q$37,CF_Table,CF!$AB$47))</f>
        <v>-4657.38027414731</v>
      </c>
      <c r="R44" s="61" t="n">
        <f aca="false">IF(R$37&lt;YEAR(Startops1),0,HLOOKUP(R$37,CF_Table,CF!$AB$47))</f>
        <v>-4069.26227957454</v>
      </c>
      <c r="S44" s="61" t="n">
        <f aca="false">IF(S$37&lt;YEAR(Startops1),0,HLOOKUP(S$37,CF_Table,CF!$AB$47))</f>
        <v>-3592.36314308763</v>
      </c>
      <c r="T44" s="61" t="n">
        <f aca="false">IF(T$37&lt;YEAR(Startops1),0,HLOOKUP(T$37,CF_Table,CF!$AB$47))</f>
        <v>-3115.46400660072</v>
      </c>
      <c r="U44" s="61" t="n">
        <f aca="false">IF(U$37&lt;YEAR(Startops1),0,HLOOKUP(U$37,CF_Table,CF!$AB$47))</f>
        <v>-2471.73658298501</v>
      </c>
      <c r="V44" s="61" t="n">
        <f aca="false">IF(V$37&lt;YEAR(Startops1),0,HLOOKUP(V$37,CF_Table,CF!$AB$47))</f>
        <v>-1772.39973032637</v>
      </c>
      <c r="W44" s="61" t="n">
        <f aca="false">IF(W$37&lt;YEAR(Startops1),0,HLOOKUP(W$37,CF_Table,CF!$AB$47))</f>
        <v>-1073.06287766773</v>
      </c>
      <c r="X44" s="61" t="n">
        <f aca="false">IF(X$37&lt;YEAR(Startops1),0,HLOOKUP(X$37,CF_Table,CF!$AB$47))</f>
        <v>-326.687974126908</v>
      </c>
      <c r="Y44" s="61" t="n">
        <f aca="false">IF(Y$37&lt;YEAR(Startops1),0,HLOOKUP(Y$37,CF_Table,CF!$AB$47))</f>
        <v>-0</v>
      </c>
      <c r="Z44" s="61" t="n">
        <f aca="false">IF(Z$37&lt;YEAR(Startops1),0,HLOOKUP(Z$37,CF_Table,CF!$AB$47))</f>
        <v>-0</v>
      </c>
      <c r="AA44" s="61" t="n">
        <f aca="false">IF(AA$37&lt;YEAR(Startops1),0,HLOOKUP(AA$37,CF_Table,CF!$AB$47))</f>
        <v>-0</v>
      </c>
      <c r="AB44" s="61" t="n">
        <f aca="false">IF(AB$37&lt;YEAR(Startops1),0,HLOOKUP(AB$37,CF_Table,CF!$AB$47))</f>
        <v>-0</v>
      </c>
      <c r="AC44" s="304" t="n">
        <f aca="false">SUM(G44:AB44)</f>
        <v>-68247.8982665621</v>
      </c>
    </row>
    <row r="45" customFormat="false" ht="12.75" hidden="false" customHeight="false" outlineLevel="0" collapsed="false">
      <c r="A45" s="37" t="s">
        <v>902</v>
      </c>
      <c r="D45" s="39"/>
      <c r="E45" s="39"/>
      <c r="F45" s="39"/>
      <c r="G45" s="61" t="n">
        <f aca="false">IF(G$37&lt;YEAR(Startops1),0,HLOOKUP(G$37,CF_Table,CF!$AB$48))</f>
        <v>0</v>
      </c>
      <c r="H45" s="61" t="n">
        <f aca="false">IF(H$37&lt;YEAR(Startops1),0,HLOOKUP(H$37,CF_Table,CF!$AB$48))</f>
        <v>0</v>
      </c>
      <c r="I45" s="61" t="n">
        <f aca="false">IF(I$37&lt;YEAR(Startops1),0,HLOOKUP(I$37,CF_Table,CF!$AB$48))</f>
        <v>0</v>
      </c>
      <c r="J45" s="61" t="n">
        <f aca="false">IF(J$37&lt;YEAR(Startops1),0,HLOOKUP(J$37,CF_Table,CF!$AB$48))</f>
        <v>-1164.18732247162</v>
      </c>
      <c r="K45" s="61" t="n">
        <f aca="false">IF(K$37&lt;YEAR(Startops1),0,HLOOKUP(K$37,CF_Table,CF!$AB$48))</f>
        <v>-2763.74642383806</v>
      </c>
      <c r="L45" s="61" t="n">
        <f aca="false">IF(L$37&lt;YEAR(Startops1),0,HLOOKUP(L$37,CF_Table,CF!$AB$48))</f>
        <v>-2634.52697362921</v>
      </c>
      <c r="M45" s="61" t="n">
        <f aca="false">IF(M$37&lt;YEAR(Startops1),0,HLOOKUP(M$37,CF_Table,CF!$AB$48))</f>
        <v>-2487.96304271607</v>
      </c>
      <c r="N45" s="61" t="n">
        <f aca="false">IF(N$37&lt;YEAR(Startops1),0,HLOOKUP(N$37,CF_Table,CF!$AB$48))</f>
        <v>-2321.72656817612</v>
      </c>
      <c r="O45" s="61" t="n">
        <f aca="false">IF(O$37&lt;YEAR(Startops1),0,HLOOKUP(O$37,CF_Table,CF!$AB$48))</f>
        <v>-2133.17700284105</v>
      </c>
      <c r="P45" s="61" t="n">
        <f aca="false">IF(P$37&lt;YEAR(Startops1),0,HLOOKUP(P$37,CF_Table,CF!$AB$48))</f>
        <v>-1919.31937209887</v>
      </c>
      <c r="Q45" s="61" t="n">
        <f aca="false">IF(Q$37&lt;YEAR(Startops1),0,HLOOKUP(Q$37,CF_Table,CF!$AB$48))</f>
        <v>-1676.75670087033</v>
      </c>
      <c r="R45" s="61" t="n">
        <f aca="false">IF(R$37&lt;YEAR(Startops1),0,HLOOKUP(R$37,CF_Table,CF!$AB$48))</f>
        <v>-1401.63605509613</v>
      </c>
      <c r="S45" s="61" t="n">
        <f aca="false">IF(S$37&lt;YEAR(Startops1),0,HLOOKUP(S$37,CF_Table,CF!$AB$48))</f>
        <v>-1089.5873406429</v>
      </c>
      <c r="T45" s="61" t="n">
        <f aca="false">IF(T$37&lt;YEAR(Startops1),0,HLOOKUP(T$37,CF_Table,CF!$AB$48))</f>
        <v>-735.653887492177</v>
      </c>
      <c r="U45" s="61" t="n">
        <f aca="false">IF(U$37&lt;YEAR(Startops1),0,HLOOKUP(U$37,CF_Table,CF!$AB$48))</f>
        <v>-334.2137165923</v>
      </c>
      <c r="V45" s="61" t="n">
        <f aca="false">IF(V$37&lt;YEAR(Startops1),0,HLOOKUP(V$37,CF_Table,CF!$AB$48))</f>
        <v>-0</v>
      </c>
      <c r="W45" s="61" t="n">
        <f aca="false">IF(W$37&lt;YEAR(Startops1),0,HLOOKUP(W$37,CF_Table,CF!$AB$48))</f>
        <v>-0</v>
      </c>
      <c r="X45" s="61" t="n">
        <f aca="false">IF(X$37&lt;YEAR(Startops1),0,HLOOKUP(X$37,CF_Table,CF!$AB$48))</f>
        <v>-0</v>
      </c>
      <c r="Y45" s="61" t="n">
        <f aca="false">IF(Y$37&lt;YEAR(Startops1),0,HLOOKUP(Y$37,CF_Table,CF!$AB$48))</f>
        <v>-0</v>
      </c>
      <c r="Z45" s="61" t="n">
        <f aca="false">IF(Z$37&lt;YEAR(Startops1),0,HLOOKUP(Z$37,CF_Table,CF!$AB$48))</f>
        <v>-0</v>
      </c>
      <c r="AA45" s="61" t="n">
        <f aca="false">IF(AA$37&lt;YEAR(Startops1),0,HLOOKUP(AA$37,CF_Table,CF!$AB$48))</f>
        <v>-0</v>
      </c>
      <c r="AB45" s="61" t="n">
        <f aca="false">IF(AB$37&lt;YEAR(Startops1),0,HLOOKUP(AB$37,CF_Table,CF!$AB$48))</f>
        <v>-0</v>
      </c>
      <c r="AC45" s="304" t="n">
        <f aca="false">SUM(G45:AB45)</f>
        <v>-20662.4944064648</v>
      </c>
    </row>
    <row r="46" customFormat="false" ht="12.75" hidden="false" customHeight="false" outlineLevel="0" collapsed="false">
      <c r="A46" s="37" t="s">
        <v>903</v>
      </c>
      <c r="D46" s="39"/>
      <c r="E46" s="39"/>
      <c r="F46" s="39"/>
      <c r="G46" s="306" t="n">
        <f aca="false">IF(G$37&lt;YEAR(Startops1),0,HLOOKUP(G$37,CF_Table,CF!$AB$49))</f>
        <v>0</v>
      </c>
      <c r="H46" s="306" t="n">
        <f aca="false">IF(H$37&lt;YEAR(Startops1),0,HLOOKUP(H$37,CF_Table,CF!$AB$49))</f>
        <v>0</v>
      </c>
      <c r="I46" s="306" t="n">
        <f aca="false">IF(I$37&lt;YEAR(Startops1),0,HLOOKUP(I$37,CF_Table,CF!$AB$49))</f>
        <v>0</v>
      </c>
      <c r="J46" s="306" t="n">
        <f aca="false">IF(J$37&lt;YEAR(Startops1),0,HLOOKUP(J$37,CF_Table,CF!$AB$49))</f>
        <v>-0</v>
      </c>
      <c r="K46" s="306" t="n">
        <f aca="false">IF(K$37&lt;YEAR(Startops1),0,HLOOKUP(K$37,CF_Table,CF!$AB$49))</f>
        <v>-0</v>
      </c>
      <c r="L46" s="306" t="n">
        <f aca="false">IF(L$37&lt;YEAR(Startops1),0,HLOOKUP(L$37,CF_Table,CF!$AB$49))</f>
        <v>-0</v>
      </c>
      <c r="M46" s="306" t="n">
        <f aca="false">IF(M$37&lt;YEAR(Startops1),0,HLOOKUP(M$37,CF_Table,CF!$AB$49))</f>
        <v>-0</v>
      </c>
      <c r="N46" s="306" t="n">
        <f aca="false">IF(N$37&lt;YEAR(Startops1),0,HLOOKUP(N$37,CF_Table,CF!$AB$49))</f>
        <v>-0</v>
      </c>
      <c r="O46" s="306" t="n">
        <f aca="false">IF(O$37&lt;YEAR(Startops1),0,HLOOKUP(O$37,CF_Table,CF!$AB$49))</f>
        <v>-0</v>
      </c>
      <c r="P46" s="306" t="n">
        <f aca="false">IF(P$37&lt;YEAR(Startops1),0,HLOOKUP(P$37,CF_Table,CF!$AB$49))</f>
        <v>-0</v>
      </c>
      <c r="Q46" s="306" t="n">
        <f aca="false">IF(Q$37&lt;YEAR(Startops1),0,HLOOKUP(Q$37,CF_Table,CF!$AB$49))</f>
        <v>-0</v>
      </c>
      <c r="R46" s="306" t="n">
        <f aca="false">IF(R$37&lt;YEAR(Startops1),0,HLOOKUP(R$37,CF_Table,CF!$AB$49))</f>
        <v>-0</v>
      </c>
      <c r="S46" s="306" t="n">
        <f aca="false">IF(S$37&lt;YEAR(Startops1),0,HLOOKUP(S$37,CF_Table,CF!$AB$49))</f>
        <v>-0</v>
      </c>
      <c r="T46" s="306" t="n">
        <f aca="false">IF(T$37&lt;YEAR(Startops1),0,HLOOKUP(T$37,CF_Table,CF!$AB$49))</f>
        <v>-0</v>
      </c>
      <c r="U46" s="306" t="n">
        <f aca="false">IF(U$37&lt;YEAR(Startops1),0,HLOOKUP(U$37,CF_Table,CF!$AB$49))</f>
        <v>-0</v>
      </c>
      <c r="V46" s="306" t="n">
        <f aca="false">IF(V$37&lt;YEAR(Startops1),0,HLOOKUP(V$37,CF_Table,CF!$AB$49))</f>
        <v>-0</v>
      </c>
      <c r="W46" s="306" t="n">
        <f aca="false">IF(W$37&lt;YEAR(Startops1),0,HLOOKUP(W$37,CF_Table,CF!$AB$49))</f>
        <v>-0</v>
      </c>
      <c r="X46" s="306" t="n">
        <f aca="false">IF(X$37&lt;YEAR(Startops1),0,HLOOKUP(X$37,CF_Table,CF!$AB$49))</f>
        <v>-0</v>
      </c>
      <c r="Y46" s="306" t="n">
        <f aca="false">IF(Y$37&lt;YEAR(Startops1),0,HLOOKUP(Y$37,CF_Table,CF!$AB$49))</f>
        <v>-0</v>
      </c>
      <c r="Z46" s="306" t="n">
        <f aca="false">IF(Z$37&lt;YEAR(Startops1),0,HLOOKUP(Z$37,CF_Table,CF!$AB$49))</f>
        <v>-0</v>
      </c>
      <c r="AA46" s="306" t="n">
        <f aca="false">IF(AA$37&lt;YEAR(Startops1),0,HLOOKUP(AA$37,CF_Table,CF!$AB$49))</f>
        <v>-0</v>
      </c>
      <c r="AB46" s="306" t="n">
        <f aca="false">IF(AB$37&lt;YEAR(Startops1),0,HLOOKUP(AB$37,CF_Table,CF!$AB$49))</f>
        <v>-0</v>
      </c>
      <c r="AC46" s="307" t="n">
        <f aca="false">SUM(G46:AB46)</f>
        <v>0</v>
      </c>
    </row>
    <row r="47" customFormat="false" ht="12.75" hidden="false" customHeight="false" outlineLevel="0" collapsed="false">
      <c r="A47" s="37" t="s">
        <v>904</v>
      </c>
      <c r="D47" s="39"/>
      <c r="E47" s="39"/>
      <c r="F47" s="39"/>
      <c r="G47" s="61" t="n">
        <f aca="false">SUM(G43:G46)</f>
        <v>0</v>
      </c>
      <c r="H47" s="61" t="n">
        <f aca="false">SUM(H43:H46)</f>
        <v>0</v>
      </c>
      <c r="I47" s="61" t="n">
        <f aca="false">SUM(I43:I46)</f>
        <v>0</v>
      </c>
      <c r="J47" s="61" t="n">
        <f aca="false">SUM(J43:J46)</f>
        <v>-9915.65424797213</v>
      </c>
      <c r="K47" s="61" t="n">
        <f aca="false">SUM(K43:K46)</f>
        <v>-17415.3110988095</v>
      </c>
      <c r="L47" s="61" t="n">
        <f aca="false">SUM(L43:L46)</f>
        <v>-17138.8640426108</v>
      </c>
      <c r="M47" s="61" t="n">
        <f aca="false">SUM(M43:M46)</f>
        <v>-16683.4915744776</v>
      </c>
      <c r="N47" s="61" t="n">
        <f aca="false">SUM(N43:N46)</f>
        <v>-15889.2129997018</v>
      </c>
      <c r="O47" s="61" t="n">
        <f aca="false">SUM(O43:O46)</f>
        <v>-14923.3479462456</v>
      </c>
      <c r="P47" s="61" t="n">
        <f aca="false">SUM(P43:P46)</f>
        <v>-13819.0744472612</v>
      </c>
      <c r="Q47" s="61" t="n">
        <f aca="false">SUM(Q43:Q46)</f>
        <v>-12654.7372072023</v>
      </c>
      <c r="R47" s="61" t="n">
        <f aca="false">SUM(R43:R46)</f>
        <v>-11791.4985668553</v>
      </c>
      <c r="S47" s="61" t="n">
        <f aca="false">SUM(S43:S46)</f>
        <v>-11002.5507159152</v>
      </c>
      <c r="T47" s="61" t="n">
        <f aca="false">SUM(T43:T46)</f>
        <v>-10171.7181262775</v>
      </c>
      <c r="U47" s="61" t="n">
        <f aca="false">SUM(U43:U46)</f>
        <v>-9126.55053176193</v>
      </c>
      <c r="V47" s="61" t="n">
        <f aca="false">SUM(V43:V46)</f>
        <v>-8092.99996251099</v>
      </c>
      <c r="W47" s="61" t="n">
        <f aca="false">SUM(W43:W46)</f>
        <v>-7393.66310985235</v>
      </c>
      <c r="X47" s="61" t="n">
        <f aca="false">SUM(X43:X46)</f>
        <v>-6647.28820631153</v>
      </c>
      <c r="Y47" s="61" t="n">
        <f aca="false">SUM(Y43:Y46)</f>
        <v>-6320.60023218462</v>
      </c>
      <c r="Z47" s="61" t="n">
        <f aca="false">SUM(Z43:Z46)</f>
        <v>-6320.60023218462</v>
      </c>
      <c r="AA47" s="61" t="n">
        <f aca="false">SUM(AA43:AA46)</f>
        <v>-6320.60023218462</v>
      </c>
      <c r="AB47" s="61" t="n">
        <f aca="false">SUM(AB43:AB46)</f>
        <v>-2106.86674406154</v>
      </c>
      <c r="AC47" s="304" t="n">
        <f aca="false">SUM(G47:AB47)</f>
        <v>-203734.630224381</v>
      </c>
    </row>
    <row r="48" customFormat="false" ht="12.75" hidden="false" customHeight="false" outlineLevel="0" collapsed="false">
      <c r="A48" s="37"/>
      <c r="D48" s="39"/>
      <c r="E48" s="39"/>
      <c r="F48" s="39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304" t="s">
        <v>452</v>
      </c>
    </row>
    <row r="49" customFormat="false" ht="12.75" hidden="false" customHeight="false" outlineLevel="0" collapsed="false">
      <c r="A49" s="37" t="s">
        <v>905</v>
      </c>
      <c r="D49" s="39"/>
      <c r="E49" s="39" t="s">
        <v>452</v>
      </c>
      <c r="F49" s="39"/>
      <c r="G49" s="61" t="n">
        <f aca="false">SUM(G41,G47)</f>
        <v>0</v>
      </c>
      <c r="H49" s="61" t="n">
        <f aca="false">SUM(H41,H47)</f>
        <v>0</v>
      </c>
      <c r="I49" s="61" t="n">
        <f aca="false">SUM(I41,I47)</f>
        <v>0</v>
      </c>
      <c r="J49" s="61" t="n">
        <f aca="false">SUM(J41,J47)</f>
        <v>-4849.95618144266</v>
      </c>
      <c r="K49" s="61" t="n">
        <f aca="false">SUM(K41,K47)</f>
        <v>-9312.2837301061</v>
      </c>
      <c r="L49" s="61" t="n">
        <f aca="false">SUM(L41,L47)</f>
        <v>-9485.89883460989</v>
      </c>
      <c r="M49" s="61" t="n">
        <f aca="false">SUM(M41,M47)</f>
        <v>-4607.39519923682</v>
      </c>
      <c r="N49" s="61" t="n">
        <f aca="false">SUM(N41,N47)</f>
        <v>-3349.54374666664</v>
      </c>
      <c r="O49" s="61" t="n">
        <f aca="false">SUM(O41,O47)</f>
        <v>-2354.1885095183</v>
      </c>
      <c r="P49" s="61" t="n">
        <f aca="false">SUM(P41,P47)</f>
        <v>-1067.11377141443</v>
      </c>
      <c r="Q49" s="61" t="n">
        <f aca="false">SUM(Q41,Q47)</f>
        <v>60.316137804075</v>
      </c>
      <c r="R49" s="61" t="n">
        <f aca="false">SUM(R41,R47)</f>
        <v>1291.83954834637</v>
      </c>
      <c r="S49" s="61" t="n">
        <f aca="false">SUM(S41,S47)</f>
        <v>2339.28271358451</v>
      </c>
      <c r="T49" s="61" t="n">
        <f aca="false">SUM(T41,T47)</f>
        <v>3708.70153574339</v>
      </c>
      <c r="U49" s="61" t="n">
        <f aca="false">SUM(U41,U47)</f>
        <v>5245.1292370969</v>
      </c>
      <c r="V49" s="61" t="n">
        <f aca="false">SUM(V41,V47)</f>
        <v>5408.58721600442</v>
      </c>
      <c r="W49" s="61" t="n">
        <f aca="false">SUM(W41,W47)</f>
        <v>7871.15465252329</v>
      </c>
      <c r="X49" s="61" t="n">
        <f aca="false">SUM(X41,X47)</f>
        <v>9453.10741822491</v>
      </c>
      <c r="Y49" s="61" t="n">
        <f aca="false">SUM(Y41,Y47)</f>
        <v>10705.3496609782</v>
      </c>
      <c r="Z49" s="61" t="n">
        <f aca="false">SUM(Z41,Z47)</f>
        <v>11800.8467336138</v>
      </c>
      <c r="AA49" s="61" t="n">
        <f aca="false">SUM(AA41,AA47)</f>
        <v>12770.8209645409</v>
      </c>
      <c r="AB49" s="61" t="n">
        <f aca="false">SUM(AB41,AB47)</f>
        <v>4296.10442124443</v>
      </c>
      <c r="AC49" s="304" t="n">
        <f aca="false">SUM(G49:AB49)</f>
        <v>39924.8602667103</v>
      </c>
      <c r="AD49" s="503"/>
    </row>
    <row r="50" customFormat="false" ht="12.75" hidden="false" customHeight="false" outlineLevel="0" collapsed="false">
      <c r="A50" s="37" t="s">
        <v>351</v>
      </c>
      <c r="D50" s="39"/>
      <c r="E50" s="39"/>
      <c r="F50" s="39"/>
      <c r="G50" s="61" t="n">
        <f aca="false">IF(G$37&lt;YEAR(Startops1),0,HLOOKUP(G$37,CF_Table,CF!$AB$52))</f>
        <v>0</v>
      </c>
      <c r="H50" s="61" t="n">
        <f aca="false">IF(H$37&lt;YEAR(Startops1),0,HLOOKUP(H$37,CF_Table,CF!$AB$52))</f>
        <v>0</v>
      </c>
      <c r="I50" s="61" t="n">
        <f aca="false">IF(I$37&lt;YEAR(Startops1),0,HLOOKUP(I$37,CF_Table,CF!$AB$52))</f>
        <v>0</v>
      </c>
      <c r="J50" s="61" t="n">
        <f aca="false">IF(J$37&lt;YEAR(Startops1),0,HLOOKUP(J$37,CF_Table,CF!$AB$52))</f>
        <v>-0</v>
      </c>
      <c r="K50" s="61" t="n">
        <f aca="false">IF(K$37&lt;YEAR(Startops1),0,HLOOKUP(K$37,CF_Table,CF!$AB$52))</f>
        <v>-0</v>
      </c>
      <c r="L50" s="61" t="n">
        <f aca="false">IF(L$37&lt;YEAR(Startops1),0,HLOOKUP(L$37,CF_Table,CF!$AB$52))</f>
        <v>-0</v>
      </c>
      <c r="M50" s="61" t="n">
        <f aca="false">IF(M$37&lt;YEAR(Startops1),0,HLOOKUP(M$37,CF_Table,CF!$AB$52))</f>
        <v>-0</v>
      </c>
      <c r="N50" s="61" t="n">
        <f aca="false">IF(N$37&lt;YEAR(Startops1),0,HLOOKUP(N$37,CF_Table,CF!$AB$52))</f>
        <v>-0</v>
      </c>
      <c r="O50" s="61" t="n">
        <f aca="false">IF(O$37&lt;YEAR(Startops1),0,HLOOKUP(O$37,CF_Table,CF!$AB$52))</f>
        <v>-0</v>
      </c>
      <c r="P50" s="61" t="n">
        <f aca="false">IF(P$37&lt;YEAR(Startops1),0,HLOOKUP(P$37,CF_Table,CF!$AB$52))</f>
        <v>-0</v>
      </c>
      <c r="Q50" s="61" t="n">
        <f aca="false">IF(Q$37&lt;YEAR(Startops1),0,HLOOKUP(Q$37,CF_Table,CF!$AB$52))</f>
        <v>602.224988102776</v>
      </c>
      <c r="R50" s="61" t="n">
        <f aca="false">IF(R$37&lt;YEAR(Startops1),0,HLOOKUP(R$37,CF_Table,CF!$AB$52))</f>
        <v>578.460807770804</v>
      </c>
      <c r="S50" s="61" t="n">
        <f aca="false">IF(S$37&lt;YEAR(Startops1),0,HLOOKUP(S$37,CF_Table,CF!$AB$52))</f>
        <v>464.094572400236</v>
      </c>
      <c r="T50" s="61" t="n">
        <f aca="false">IF(T$37&lt;YEAR(Startops1),0,HLOOKUP(T$37,CF_Table,CF!$AB$52))</f>
        <v>260.195765963851</v>
      </c>
      <c r="U50" s="61" t="n">
        <f aca="false">IF(U$37&lt;YEAR(Startops1),0,HLOOKUP(U$37,CF_Table,CF!$AB$52))</f>
        <v>-33.4729706022816</v>
      </c>
      <c r="V50" s="61" t="n">
        <f aca="false">IF(V$37&lt;YEAR(Startops1),0,HLOOKUP(V$37,CF_Table,CF!$AB$52))</f>
        <v>-442.646682586344</v>
      </c>
      <c r="W50" s="61" t="n">
        <f aca="false">IF(W$37&lt;YEAR(Startops1),0,HLOOKUP(W$37,CF_Table,CF!$AB$52))</f>
        <v>-828.169368941894</v>
      </c>
      <c r="X50" s="61" t="n">
        <f aca="false">IF(X$37&lt;YEAR(Startops1),0,HLOOKUP(X$37,CF_Table,CF!$AB$52))</f>
        <v>-1370.64012016712</v>
      </c>
      <c r="Y50" s="61" t="n">
        <f aca="false">IF(Y$37&lt;YEAR(Startops1),0,HLOOKUP(Y$37,CF_Table,CF!$AB$52))</f>
        <v>-1995.82371472347</v>
      </c>
      <c r="Z50" s="61" t="n">
        <f aca="false">IF(Z$37&lt;YEAR(Startops1),0,HLOOKUP(Z$37,CF_Table,CF!$AB$52))</f>
        <v>-2666.45144290828</v>
      </c>
      <c r="AA50" s="61" t="n">
        <f aca="false">IF(AA$37&lt;YEAR(Startops1),0,HLOOKUP(AA$37,CF_Table,CF!$AB$52))</f>
        <v>-2913.05128272317</v>
      </c>
      <c r="AB50" s="61" t="n">
        <f aca="false">IF(AB$37&lt;YEAR(Startops1),0,HLOOKUP(AB$37,CF_Table,CF!$AB$52))</f>
        <v>-971.017094241057</v>
      </c>
      <c r="AC50" s="304" t="n">
        <f aca="false">SUM(G50:AB50)</f>
        <v>-9316.29654265595</v>
      </c>
    </row>
    <row r="51" customFormat="false" ht="12.75" hidden="false" customHeight="false" outlineLevel="0" collapsed="false">
      <c r="A51" s="37" t="s">
        <v>936</v>
      </c>
      <c r="D51" s="39"/>
      <c r="E51" s="39"/>
      <c r="F51" s="39"/>
      <c r="G51" s="61" t="n">
        <f aca="false">IF(G$37&lt;YEAR(Startops1),0,HLOOKUP(G$37,CF_Table,CF!$AB$55))</f>
        <v>0</v>
      </c>
      <c r="H51" s="61" t="n">
        <f aca="false">IF(H$37&lt;YEAR(Startops1),0,HLOOKUP(H$37,CF_Table,CF!$AB$55))</f>
        <v>0</v>
      </c>
      <c r="I51" s="61" t="n">
        <f aca="false">IF(I$37&lt;YEAR(Startops1),0,HLOOKUP(I$37,CF_Table,CF!$AB$55))</f>
        <v>0</v>
      </c>
      <c r="J51" s="61" t="n">
        <f aca="false">IF(J$37&lt;YEAR(Startops1),0,HLOOKUP(J$37,CF_Table,CF!$AB$55))</f>
        <v>-0</v>
      </c>
      <c r="K51" s="61" t="n">
        <f aca="false">IF(K$37&lt;YEAR(Startops1),0,HLOOKUP(K$37,CF_Table,CF!$AB$55))</f>
        <v>-0</v>
      </c>
      <c r="L51" s="61" t="n">
        <f aca="false">IF(L$37&lt;YEAR(Startops1),0,HLOOKUP(L$37,CF_Table,CF!$AB$55))</f>
        <v>-0</v>
      </c>
      <c r="M51" s="61" t="n">
        <f aca="false">IF(M$37&lt;YEAR(Startops1),0,HLOOKUP(M$37,CF_Table,CF!$AB$55))</f>
        <v>-0</v>
      </c>
      <c r="N51" s="61" t="n">
        <f aca="false">IF(N$37&lt;YEAR(Startops1),0,HLOOKUP(N$37,CF_Table,CF!$AB$55))</f>
        <v>-0</v>
      </c>
      <c r="O51" s="61" t="n">
        <f aca="false">IF(O$37&lt;YEAR(Startops1),0,HLOOKUP(O$37,CF_Table,CF!$AB$55))</f>
        <v>-0</v>
      </c>
      <c r="P51" s="61" t="n">
        <f aca="false">IF(P$37&lt;YEAR(Startops1),0,HLOOKUP(P$37,CF_Table,CF!$AB$55))</f>
        <v>-174.324282490501</v>
      </c>
      <c r="Q51" s="61" t="n">
        <f aca="false">IF(Q$37&lt;YEAR(Startops1),0,HLOOKUP(Q$37,CF_Table,CF!$AB$55))</f>
        <v>-517.842586717923</v>
      </c>
      <c r="R51" s="61" t="n">
        <f aca="false">IF(R$37&lt;YEAR(Startops1),0,HLOOKUP(R$37,CF_Table,CF!$AB$55))</f>
        <v>-733.282099722669</v>
      </c>
      <c r="S51" s="61" t="n">
        <f aca="false">IF(S$37&lt;YEAR(Startops1),0,HLOOKUP(S$37,CF_Table,CF!$AB$55))</f>
        <v>-876.73961748338</v>
      </c>
      <c r="T51" s="61" t="n">
        <f aca="false">IF(T$37&lt;YEAR(Startops1),0,HLOOKUP(T$37,CF_Table,CF!$AB$55))</f>
        <v>-1064.21611343746</v>
      </c>
      <c r="U51" s="61" t="n">
        <f aca="false">IF(U$37&lt;YEAR(Startops1),0,HLOOKUP(U$37,CF_Table,CF!$AB$55))</f>
        <v>-1258.56075482547</v>
      </c>
      <c r="V51" s="61" t="n">
        <f aca="false">IF(V$37&lt;YEAR(Startops1),0,HLOOKUP(V$37,CF_Table,CF!$AB$55))</f>
        <v>-1124.59705195197</v>
      </c>
      <c r="W51" s="61" t="n">
        <f aca="false">IF(W$37&lt;YEAR(Startops1),0,HLOOKUP(W$37,CF_Table,CF!$AB$55))</f>
        <v>-1604.3943892397</v>
      </c>
      <c r="X51" s="61" t="n">
        <f aca="false">IF(X$37&lt;YEAR(Startops1),0,HLOOKUP(X$37,CF_Table,CF!$AB$55))</f>
        <v>-1844.51473458374</v>
      </c>
      <c r="Y51" s="61" t="n">
        <f aca="false">IF(Y$37&lt;YEAR(Startops1),0,HLOOKUP(Y$37,CF_Table,CF!$AB$55))</f>
        <v>-1989.36528231723</v>
      </c>
      <c r="Z51" s="61" t="n">
        <f aca="false">IF(Z$37&lt;YEAR(Startops1),0,HLOOKUP(Z$37,CF_Table,CF!$AB$55))</f>
        <v>-2087.51010088537</v>
      </c>
      <c r="AA51" s="61" t="n">
        <f aca="false">IF(AA$37&lt;YEAR(Startops1),0,HLOOKUP(AA$37,CF_Table,CF!$AB$55))</f>
        <v>-2276.40081629353</v>
      </c>
      <c r="AB51" s="61" t="n">
        <f aca="false">IF(AB$37&lt;YEAR(Startops1),0,HLOOKUP(AB$37,CF_Table,CF!$AB$55))</f>
        <v>-1089.76708082191</v>
      </c>
      <c r="AC51" s="304" t="n">
        <f aca="false">SUM(G51:AB51)</f>
        <v>-16641.5149107709</v>
      </c>
      <c r="AD51" s="19"/>
    </row>
    <row r="52" customFormat="false" ht="12.75" hidden="false" customHeight="false" outlineLevel="0" collapsed="false">
      <c r="A52" s="37" t="s">
        <v>937</v>
      </c>
      <c r="D52" s="39"/>
      <c r="E52" s="39"/>
      <c r="F52" s="39"/>
      <c r="G52" s="306" t="n">
        <f aca="false">IF(G$37&lt;YEAR(Startops1),0,HLOOKUP(G$37,CF_Table,CF!$AB$58))</f>
        <v>0</v>
      </c>
      <c r="H52" s="306" t="n">
        <f aca="false">IF(H$37&lt;YEAR(Startops1),0,HLOOKUP(H$37,CF_Table,CF!$AB$58))</f>
        <v>0</v>
      </c>
      <c r="I52" s="306" t="n">
        <f aca="false">IF(I$37&lt;YEAR(Startops1),0,HLOOKUP(I$37,CF_Table,CF!$AB$58))</f>
        <v>0</v>
      </c>
      <c r="J52" s="306" t="n">
        <f aca="false">IF(J$37&lt;YEAR(Startops1),0,HLOOKUP(J$37,CF_Table,CF!$AB$58))</f>
        <v>0</v>
      </c>
      <c r="K52" s="306" t="n">
        <f aca="false">IF(K$37&lt;YEAR(Startops1),0,HLOOKUP(K$37,CF_Table,CF!$AB$58))</f>
        <v>0</v>
      </c>
      <c r="L52" s="306" t="n">
        <f aca="false">IF(L$37&lt;YEAR(Startops1),0,HLOOKUP(L$37,CF_Table,CF!$AB$58))</f>
        <v>0</v>
      </c>
      <c r="M52" s="306" t="n">
        <f aca="false">IF(M$37&lt;YEAR(Startops1),0,HLOOKUP(M$37,CF_Table,CF!$AB$58))</f>
        <v>0</v>
      </c>
      <c r="N52" s="306" t="n">
        <f aca="false">IF(N$37&lt;YEAR(Startops1),0,HLOOKUP(N$37,CF_Table,CF!$AB$58))</f>
        <v>0</v>
      </c>
      <c r="O52" s="306" t="n">
        <f aca="false">IF(O$37&lt;YEAR(Startops1),0,HLOOKUP(O$37,CF_Table,CF!$AB$58))</f>
        <v>0</v>
      </c>
      <c r="P52" s="306" t="n">
        <f aca="false">IF(P$37&lt;YEAR(Startops1),0,HLOOKUP(P$37,CF_Table,CF!$AB$58))</f>
        <v>47.9415472258764</v>
      </c>
      <c r="Q52" s="306" t="n">
        <f aca="false">IF(Q$37&lt;YEAR(Startops1),0,HLOOKUP(Q$37,CF_Table,CF!$AB$58))</f>
        <v>92.9432641307961</v>
      </c>
      <c r="R52" s="306" t="n">
        <f aca="false">IF(R$37&lt;YEAR(Startops1),0,HLOOKUP(R$37,CF_Table,CF!$AB$58))</f>
        <v>6.64409731116911</v>
      </c>
      <c r="S52" s="306" t="n">
        <f aca="false">IF(S$37&lt;YEAR(Startops1),0,HLOOKUP(S$37,CF_Table,CF!$AB$58))</f>
        <v>112.350395862494</v>
      </c>
      <c r="T52" s="306" t="n">
        <f aca="false">IF(T$37&lt;YEAR(Startops1),0,HLOOKUP(T$37,CF_Table,CF!$AB$58))</f>
        <v>32.0061773915372</v>
      </c>
      <c r="U52" s="306" t="n">
        <f aca="false">IF(U$37&lt;YEAR(Startops1),0,HLOOKUP(U$37,CF_Table,CF!$AB$58))</f>
        <v>138.641608171478</v>
      </c>
      <c r="V52" s="306" t="n">
        <f aca="false">IF(V$37&lt;YEAR(Startops1),0,HLOOKUP(V$37,CF_Table,CF!$AB$58))</f>
        <v>13.8833820893858</v>
      </c>
      <c r="W52" s="306" t="n">
        <f aca="false">IF(W$37&lt;YEAR(Startops1),0,HLOOKUP(W$37,CF_Table,CF!$AB$58))</f>
        <v>-13.8833820893858</v>
      </c>
      <c r="X52" s="306" t="n">
        <f aca="false">IF(X$37&lt;YEAR(Startops1),0,HLOOKUP(X$37,CF_Table,CF!$AB$58))</f>
        <v>13.8833820893858</v>
      </c>
      <c r="Y52" s="306" t="n">
        <f aca="false">IF(Y$37&lt;YEAR(Startops1),0,HLOOKUP(Y$37,CF_Table,CF!$AB$58))</f>
        <v>-13.8833820893858</v>
      </c>
      <c r="Z52" s="306" t="n">
        <f aca="false">IF(Z$37&lt;YEAR(Startops1),0,HLOOKUP(Z$37,CF_Table,CF!$AB$58))</f>
        <v>-430.527090093351</v>
      </c>
      <c r="AA52" s="306" t="n">
        <f aca="false">IF(AA$37&lt;YEAR(Startops1),0,HLOOKUP(AA$37,CF_Table,CF!$AB$58))</f>
        <v>0</v>
      </c>
      <c r="AB52" s="306" t="n">
        <f aca="false">IF(AB$37&lt;YEAR(Startops1),0,HLOOKUP(AB$37,CF_Table,CF!$AB$58))</f>
        <v>0</v>
      </c>
      <c r="AC52" s="307" t="n">
        <f aca="false">SUM(G52:AB52)</f>
        <v>0</v>
      </c>
      <c r="AD52" s="19"/>
    </row>
    <row r="53" customFormat="false" ht="12.75" hidden="false" customHeight="false" outlineLevel="0" collapsed="false">
      <c r="A53" s="590" t="s">
        <v>889</v>
      </c>
      <c r="B53" s="466"/>
      <c r="C53" s="466"/>
      <c r="D53" s="466"/>
      <c r="E53" s="466" t="s">
        <v>452</v>
      </c>
      <c r="F53" s="466"/>
      <c r="G53" s="532" t="n">
        <f aca="false">SUM(G49:G52)</f>
        <v>0</v>
      </c>
      <c r="H53" s="532" t="n">
        <f aca="false">SUM(H49:H52)</f>
        <v>0</v>
      </c>
      <c r="I53" s="532" t="n">
        <f aca="false">SUM(I49:I52)</f>
        <v>0</v>
      </c>
      <c r="J53" s="532" t="n">
        <f aca="false">SUM(J49:J52)</f>
        <v>-4849.95618144266</v>
      </c>
      <c r="K53" s="532" t="n">
        <f aca="false">SUM(K49:K52)</f>
        <v>-9312.2837301061</v>
      </c>
      <c r="L53" s="532" t="n">
        <f aca="false">SUM(L49:L52)</f>
        <v>-9485.89883460989</v>
      </c>
      <c r="M53" s="532" t="n">
        <f aca="false">SUM(M49:M52)</f>
        <v>-4607.39519923682</v>
      </c>
      <c r="N53" s="532" t="n">
        <f aca="false">SUM(N49:N52)</f>
        <v>-3349.54374666664</v>
      </c>
      <c r="O53" s="532" t="n">
        <f aca="false">SUM(O49:O52)</f>
        <v>-2354.1885095183</v>
      </c>
      <c r="P53" s="532" t="n">
        <f aca="false">SUM(P49:P52)</f>
        <v>-1193.49650667905</v>
      </c>
      <c r="Q53" s="532" t="n">
        <f aca="false">SUM(Q49:Q52)</f>
        <v>237.641803319724</v>
      </c>
      <c r="R53" s="532" t="n">
        <f aca="false">SUM(R49:R52)</f>
        <v>1143.66235370568</v>
      </c>
      <c r="S53" s="532" t="n">
        <f aca="false">SUM(S49:S52)</f>
        <v>2038.98806436386</v>
      </c>
      <c r="T53" s="532" t="n">
        <f aca="false">SUM(T49:T52)</f>
        <v>2936.68736566132</v>
      </c>
      <c r="U53" s="532" t="n">
        <f aca="false">SUM(U49:U52)</f>
        <v>4091.73711984062</v>
      </c>
      <c r="V53" s="532" t="n">
        <f aca="false">SUM(V49:V52)</f>
        <v>3855.22686355549</v>
      </c>
      <c r="W53" s="532" t="n">
        <f aca="false">SUM(W49:W52)</f>
        <v>5424.70751225231</v>
      </c>
      <c r="X53" s="532" t="n">
        <f aca="false">SUM(X49:X52)</f>
        <v>6251.83594556343</v>
      </c>
      <c r="Y53" s="532" t="n">
        <f aca="false">SUM(Y49:Y52)</f>
        <v>6706.27728184809</v>
      </c>
      <c r="Z53" s="532" t="n">
        <f aca="false">SUM(Z49:Z52)</f>
        <v>6616.35809972682</v>
      </c>
      <c r="AA53" s="532" t="n">
        <f aca="false">SUM(AA49:AA52)</f>
        <v>7581.36886552416</v>
      </c>
      <c r="AB53" s="532" t="n">
        <f aca="false">SUM(AB49:AB52)</f>
        <v>2235.32024618146</v>
      </c>
      <c r="AC53" s="888" t="n">
        <f aca="false">SUM(G53:AB53)</f>
        <v>13967.0488132835</v>
      </c>
      <c r="AD53" s="979" t="str">
        <f aca="false">IF(ROUND(AC53-CF!Z60,2)=0," ","DOES NOT TIE TO NET INCOME ON CASHFLOW SHEET")</f>
        <v> </v>
      </c>
    </row>
    <row r="54" customFormat="false" ht="12.75" hidden="false" customHeight="false" outlineLevel="0" collapsed="false">
      <c r="A54" s="37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792"/>
    </row>
    <row r="55" customFormat="false" ht="13.5" hidden="false" customHeight="false" outlineLevel="0" collapsed="false">
      <c r="A55" s="950" t="s">
        <v>938</v>
      </c>
      <c r="B55" s="951"/>
      <c r="C55" s="951"/>
      <c r="D55" s="951"/>
      <c r="E55" s="22"/>
      <c r="F55" s="22"/>
      <c r="G55" s="50" t="n">
        <f aca="false">G$7</f>
        <v>1998</v>
      </c>
      <c r="H55" s="50" t="n">
        <f aca="false">H$7</f>
        <v>1999</v>
      </c>
      <c r="I55" s="50" t="n">
        <f aca="false">I$7</f>
        <v>2000</v>
      </c>
      <c r="J55" s="50" t="n">
        <f aca="false">J$7</f>
        <v>2001</v>
      </c>
      <c r="K55" s="50" t="n">
        <f aca="false">K$7</f>
        <v>2002</v>
      </c>
      <c r="L55" s="50" t="n">
        <f aca="false">L$7</f>
        <v>2003</v>
      </c>
      <c r="M55" s="50" t="n">
        <f aca="false">M$7</f>
        <v>2004</v>
      </c>
      <c r="N55" s="50" t="n">
        <f aca="false">N$7</f>
        <v>2005</v>
      </c>
      <c r="O55" s="50" t="n">
        <f aca="false">O$7</f>
        <v>2006</v>
      </c>
      <c r="P55" s="50" t="n">
        <f aca="false">P$7</f>
        <v>2007</v>
      </c>
      <c r="Q55" s="50" t="n">
        <f aca="false">Q$7</f>
        <v>2008</v>
      </c>
      <c r="R55" s="50" t="n">
        <f aca="false">R$7</f>
        <v>2009</v>
      </c>
      <c r="S55" s="50" t="n">
        <f aca="false">S$7</f>
        <v>2010</v>
      </c>
      <c r="T55" s="50" t="n">
        <f aca="false">T$7</f>
        <v>2011</v>
      </c>
      <c r="U55" s="50" t="n">
        <f aca="false">U$7</f>
        <v>2012</v>
      </c>
      <c r="V55" s="50" t="n">
        <f aca="false">V$7</f>
        <v>2013</v>
      </c>
      <c r="W55" s="50" t="n">
        <f aca="false">W$7</f>
        <v>2014</v>
      </c>
      <c r="X55" s="50" t="n">
        <f aca="false">X$7</f>
        <v>2015</v>
      </c>
      <c r="Y55" s="50" t="n">
        <f aca="false">Y$7</f>
        <v>2016</v>
      </c>
      <c r="Z55" s="50" t="n">
        <f aca="false">Z$7</f>
        <v>2017</v>
      </c>
      <c r="AA55" s="50" t="n">
        <f aca="false">AA$7</f>
        <v>2018</v>
      </c>
      <c r="AB55" s="50" t="n">
        <f aca="false">AB$7</f>
        <v>2019</v>
      </c>
      <c r="AC55" s="293" t="str">
        <f aca="false">AC$7</f>
        <v>Totals</v>
      </c>
    </row>
    <row r="56" customFormat="false" ht="12.75" hidden="false" customHeight="false" outlineLevel="0" collapsed="false">
      <c r="A56" s="34" t="s">
        <v>939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298"/>
    </row>
    <row r="57" customFormat="false" ht="12.75" hidden="false" customHeight="false" outlineLevel="0" collapsed="false">
      <c r="A57" s="37"/>
      <c r="B57" s="39" t="s">
        <v>940</v>
      </c>
      <c r="D57" s="39"/>
      <c r="E57" s="39"/>
      <c r="F57" s="39"/>
      <c r="G57" s="61" t="n">
        <f aca="false">G38</f>
        <v>0</v>
      </c>
      <c r="H57" s="61" t="n">
        <f aca="false">H38</f>
        <v>0</v>
      </c>
      <c r="I57" s="61" t="n">
        <f aca="false">I38</f>
        <v>0</v>
      </c>
      <c r="J57" s="61" t="n">
        <f aca="false">J38</f>
        <v>8464.08082245497</v>
      </c>
      <c r="K57" s="61" t="n">
        <f aca="false">K38</f>
        <v>14255.1350679866</v>
      </c>
      <c r="L57" s="61" t="n">
        <f aca="false">L38</f>
        <v>14692.6643266972</v>
      </c>
      <c r="M57" s="61" t="n">
        <f aca="false">M38</f>
        <v>15166.7261290266</v>
      </c>
      <c r="N57" s="61" t="n">
        <f aca="false">N38</f>
        <v>15561.1605933461</v>
      </c>
      <c r="O57" s="61" t="n">
        <f aca="false">O38</f>
        <v>15999.6369712766</v>
      </c>
      <c r="P57" s="61" t="n">
        <f aca="false">P38</f>
        <v>16440.5194342833</v>
      </c>
      <c r="Q57" s="61" t="n">
        <f aca="false">Q38</f>
        <v>16928.9337579163</v>
      </c>
      <c r="R57" s="61" t="n">
        <f aca="false">R38</f>
        <v>17329.6696542016</v>
      </c>
      <c r="S57" s="61" t="n">
        <f aca="false">S38</f>
        <v>17779.8886398872</v>
      </c>
      <c r="T57" s="61" t="n">
        <f aca="false">T38</f>
        <v>18234.9521276381</v>
      </c>
      <c r="U57" s="61" t="n">
        <f aca="false">U38</f>
        <v>18746.6664001565</v>
      </c>
      <c r="V57" s="61" t="n">
        <f aca="false">V38</f>
        <v>19166.3462288322</v>
      </c>
      <c r="W57" s="61" t="n">
        <f aca="false">W38</f>
        <v>19649.6774311726</v>
      </c>
      <c r="X57" s="61" t="n">
        <f aca="false">X38</f>
        <v>20151.1595364448</v>
      </c>
      <c r="Y57" s="61" t="n">
        <f aca="false">Y38</f>
        <v>20729.4604535379</v>
      </c>
      <c r="Z57" s="61" t="n">
        <f aca="false">Z38</f>
        <v>21219.9335601026</v>
      </c>
      <c r="AA57" s="61" t="n">
        <f aca="false">AA38</f>
        <v>21790.3124789758</v>
      </c>
      <c r="AB57" s="61" t="n">
        <f aca="false">AB38</f>
        <v>7226.4497213104</v>
      </c>
      <c r="AC57" s="304" t="n">
        <f aca="false">SUM(G57:AB57)</f>
        <v>319533.373335247</v>
      </c>
    </row>
    <row r="58" customFormat="false" ht="12.75" hidden="false" customHeight="false" outlineLevel="0" collapsed="false">
      <c r="A58" s="37"/>
      <c r="B58" s="39" t="s">
        <v>941</v>
      </c>
      <c r="D58" s="39"/>
      <c r="E58" s="39"/>
      <c r="F58" s="39"/>
      <c r="G58" s="61" t="n">
        <f aca="false">G39</f>
        <v>0</v>
      </c>
      <c r="H58" s="61" t="n">
        <f aca="false">H39</f>
        <v>0</v>
      </c>
      <c r="I58" s="61" t="n">
        <f aca="false">I39</f>
        <v>0</v>
      </c>
      <c r="J58" s="61" t="n">
        <f aca="false">J39</f>
        <v>-1726.03747483432</v>
      </c>
      <c r="K58" s="61" t="n">
        <f aca="false">K39</f>
        <v>-2152.49508548174</v>
      </c>
      <c r="L58" s="61" t="n">
        <f aca="false">L39</f>
        <v>-3116.0917033311</v>
      </c>
      <c r="M58" s="61" t="n">
        <f aca="false">M39</f>
        <v>-2685.58951142806</v>
      </c>
      <c r="N58" s="61" t="n">
        <f aca="false">N39</f>
        <v>-2296.62193942175</v>
      </c>
      <c r="O58" s="61" t="n">
        <f aca="false">O39</f>
        <v>-2456.4268675285</v>
      </c>
      <c r="P58" s="61" t="n">
        <f aca="false">P39</f>
        <v>-2452.54925722092</v>
      </c>
      <c r="Q58" s="61" t="n">
        <f aca="false">Q39</f>
        <v>-2743.26083585639</v>
      </c>
      <c r="R58" s="61" t="n">
        <f aca="false">R39</f>
        <v>-2555.79734649026</v>
      </c>
      <c r="S58" s="61" t="n">
        <f aca="false">S39</f>
        <v>-2708.880095247</v>
      </c>
      <c r="T58" s="61" t="n">
        <f aca="false">T39</f>
        <v>-2688.63642366113</v>
      </c>
      <c r="U58" s="61" t="n">
        <f aca="false">U39</f>
        <v>-2756.43197959719</v>
      </c>
      <c r="V58" s="61" t="n">
        <f aca="false">V39</f>
        <v>-4090.03169208576</v>
      </c>
      <c r="W58" s="61" t="n">
        <f aca="false">W39</f>
        <v>-3014.23033143617</v>
      </c>
      <c r="X58" s="61" t="n">
        <f aca="false">X39</f>
        <v>-2971.32339525099</v>
      </c>
      <c r="Y58" s="61" t="n">
        <f aca="false">Y39</f>
        <v>-3082.82704559384</v>
      </c>
      <c r="Z58" s="61" t="n">
        <f aca="false">Z39</f>
        <v>-3129.84112432897</v>
      </c>
      <c r="AA58" s="61" t="n">
        <f aca="false">AA39</f>
        <v>-3191.10209829644</v>
      </c>
      <c r="AB58" s="61" t="n">
        <f aca="false">AB39</f>
        <v>-1092.8921652229</v>
      </c>
      <c r="AC58" s="304" t="n">
        <f aca="false">SUM(G58:AB58)</f>
        <v>-50911.0663723134</v>
      </c>
    </row>
    <row r="59" customFormat="false" ht="12.75" hidden="false" customHeight="false" outlineLevel="0" collapsed="false">
      <c r="A59" s="37"/>
      <c r="B59" s="39" t="s">
        <v>942</v>
      </c>
      <c r="D59" s="39"/>
      <c r="E59" s="39"/>
      <c r="F59" s="39"/>
      <c r="G59" s="61" t="n">
        <f aca="false">IF(G$37&lt;YEAR(Startops1),0,HLOOKUP(G$37,CF_Table,CF!$AB$38))</f>
        <v>0</v>
      </c>
      <c r="H59" s="61" t="n">
        <f aca="false">IF(H$37&lt;YEAR(Startops1),0,HLOOKUP(H$37,CF_Table,CF!$AB$38))</f>
        <v>0</v>
      </c>
      <c r="I59" s="61" t="n">
        <f aca="false">IF(I$37&lt;YEAR(Startops1),0,HLOOKUP(I$37,CF_Table,CF!$AB$38))</f>
        <v>0</v>
      </c>
      <c r="J59" s="61" t="n">
        <f aca="false">IF(J$37&lt;YEAR(Startops1),0,HLOOKUP(J$37,CF_Table,CF!$AB$38))</f>
        <v>0</v>
      </c>
      <c r="K59" s="61" t="n">
        <f aca="false">IF(K$37&lt;YEAR(Startops1),0,HLOOKUP(K$37,CF_Table,CF!$AB$38))</f>
        <v>0</v>
      </c>
      <c r="L59" s="61" t="n">
        <f aca="false">IF(L$37&lt;YEAR(Startops1),0,HLOOKUP(L$37,CF_Table,CF!$AB$38))</f>
        <v>0</v>
      </c>
      <c r="M59" s="61" t="n">
        <f aca="false">IF(M$37&lt;YEAR(Startops1),0,HLOOKUP(M$37,CF_Table,CF!$AB$38))</f>
        <v>0</v>
      </c>
      <c r="N59" s="61" t="n">
        <f aca="false">IF(N$37&lt;YEAR(Startops1),0,HLOOKUP(N$37,CF_Table,CF!$AB$38))</f>
        <v>0</v>
      </c>
      <c r="O59" s="61" t="n">
        <f aca="false">IF(O$37&lt;YEAR(Startops1),0,HLOOKUP(O$37,CF_Table,CF!$AB$38))</f>
        <v>0</v>
      </c>
      <c r="P59" s="61" t="n">
        <f aca="false">IF(P$37&lt;YEAR(Startops1),0,HLOOKUP(P$37,CF_Table,CF!$AB$38))</f>
        <v>0</v>
      </c>
      <c r="Q59" s="61" t="n">
        <f aca="false">IF(Q$37&lt;YEAR(Startops1),0,HLOOKUP(Q$37,CF_Table,CF!$AB$38))</f>
        <v>0</v>
      </c>
      <c r="R59" s="61" t="n">
        <f aca="false">IF(R$37&lt;YEAR(Startops1),0,HLOOKUP(R$37,CF_Table,CF!$AB$38))</f>
        <v>0</v>
      </c>
      <c r="S59" s="61" t="n">
        <f aca="false">IF(S$37&lt;YEAR(Startops1),0,HLOOKUP(S$37,CF_Table,CF!$AB$38))</f>
        <v>0</v>
      </c>
      <c r="T59" s="61" t="n">
        <f aca="false">IF(T$37&lt;YEAR(Startops1),0,HLOOKUP(T$37,CF_Table,CF!$AB$38))</f>
        <v>0</v>
      </c>
      <c r="U59" s="61" t="n">
        <f aca="false">IF(U$37&lt;YEAR(Startops1),0,HLOOKUP(U$37,CF_Table,CF!$AB$38))</f>
        <v>0</v>
      </c>
      <c r="V59" s="61" t="n">
        <f aca="false">IF(V$37&lt;YEAR(Startops1),0,HLOOKUP(V$37,CF_Table,CF!$AB$38))</f>
        <v>0</v>
      </c>
      <c r="W59" s="61" t="n">
        <f aca="false">IF(W$37&lt;YEAR(Startops1),0,HLOOKUP(W$37,CF_Table,CF!$AB$38))</f>
        <v>0</v>
      </c>
      <c r="X59" s="61" t="n">
        <f aca="false">IF(X$37&lt;YEAR(Startops1),0,HLOOKUP(X$37,CF_Table,CF!$AB$38))</f>
        <v>0</v>
      </c>
      <c r="Y59" s="61" t="n">
        <f aca="false">IF(Y$37&lt;YEAR(Startops1),0,HLOOKUP(Y$37,CF_Table,CF!$AB$38))</f>
        <v>0</v>
      </c>
      <c r="Z59" s="61" t="n">
        <f aca="false">IF(Z$37&lt;YEAR(Startops1),0,HLOOKUP(Z$37,CF_Table,CF!$AB$38))</f>
        <v>0</v>
      </c>
      <c r="AA59" s="61" t="n">
        <f aca="false">IF(AA$37&lt;YEAR(Startops1),0,HLOOKUP(AA$37,CF_Table,CF!$AB$38))</f>
        <v>0</v>
      </c>
      <c r="AB59" s="61" t="n">
        <f aca="false">IF(AB$37&lt;YEAR(Startops1),0,HLOOKUP(AB$37,CF_Table,CF!$AB$38))</f>
        <v>0</v>
      </c>
      <c r="AC59" s="304" t="n">
        <f aca="false">SUM(G59:AB59)</f>
        <v>0</v>
      </c>
    </row>
    <row r="60" customFormat="false" ht="12.75" hidden="false" customHeight="false" outlineLevel="0" collapsed="false">
      <c r="A60" s="37"/>
      <c r="B60" s="39" t="s">
        <v>943</v>
      </c>
      <c r="D60" s="39"/>
      <c r="E60" s="39"/>
      <c r="F60" s="39"/>
      <c r="G60" s="306" t="n">
        <f aca="false">IF(G$37&lt;YEAR(Startops1),0,HLOOKUP(G$37,CF_Table,CF!$AB$66))</f>
        <v>0</v>
      </c>
      <c r="H60" s="306" t="n">
        <f aca="false">IF(H$37&lt;YEAR(Startops1),0,HLOOKUP(H$37,CF_Table,CF!$AB$66))</f>
        <v>0</v>
      </c>
      <c r="I60" s="306" t="n">
        <f aca="false">IF(I$37&lt;YEAR(Startops1),0,HLOOKUP(I$37,CF_Table,CF!$AB$66))</f>
        <v>0</v>
      </c>
      <c r="J60" s="306" t="n">
        <f aca="false">IF(J$37&lt;YEAR(Startops1),0,HLOOKUP(J$37,CF_Table,CF!$AB$66))</f>
        <v>-0</v>
      </c>
      <c r="K60" s="306" t="n">
        <f aca="false">IF(K$37&lt;YEAR(Startops1),0,HLOOKUP(K$37,CF_Table,CF!$AB$66))</f>
        <v>-0</v>
      </c>
      <c r="L60" s="306" t="n">
        <f aca="false">IF(L$37&lt;YEAR(Startops1),0,HLOOKUP(L$37,CF_Table,CF!$AB$66))</f>
        <v>-0</v>
      </c>
      <c r="M60" s="306" t="n">
        <f aca="false">IF(M$37&lt;YEAR(Startops1),0,HLOOKUP(M$37,CF_Table,CF!$AB$66))</f>
        <v>-0</v>
      </c>
      <c r="N60" s="306" t="n">
        <f aca="false">IF(N$37&lt;YEAR(Startops1),0,HLOOKUP(N$37,CF_Table,CF!$AB$66))</f>
        <v>-0</v>
      </c>
      <c r="O60" s="306" t="n">
        <f aca="false">IF(O$37&lt;YEAR(Startops1),0,HLOOKUP(O$37,CF_Table,CF!$AB$66))</f>
        <v>-0</v>
      </c>
      <c r="P60" s="306" t="n">
        <f aca="false">IF(P$37&lt;YEAR(Startops1),0,HLOOKUP(P$37,CF_Table,CF!$AB$66))</f>
        <v>-126.382735264625</v>
      </c>
      <c r="Q60" s="306" t="n">
        <f aca="false">IF(Q$37&lt;YEAR(Startops1),0,HLOOKUP(Q$37,CF_Table,CF!$AB$66))</f>
        <v>-376.957775361251</v>
      </c>
      <c r="R60" s="306" t="n">
        <f aca="false">IF(R$37&lt;YEAR(Startops1),0,HLOOKUP(R$37,CF_Table,CF!$AB$66))</f>
        <v>-633.694738280704</v>
      </c>
      <c r="S60" s="306" t="n">
        <f aca="false">IF(S$37&lt;YEAR(Startops1),0,HLOOKUP(S$37,CF_Table,CF!$AB$66))</f>
        <v>-757.745124309717</v>
      </c>
      <c r="T60" s="306" t="n">
        <f aca="false">IF(T$37&lt;YEAR(Startops1),0,HLOOKUP(T$37,CF_Table,CF!$AB$66))</f>
        <v>-919.859540183429</v>
      </c>
      <c r="U60" s="306" t="n">
        <f aca="false">IF(U$37&lt;YEAR(Startops1),0,HLOOKUP(U$37,CF_Table,CF!$AB$66))</f>
        <v>-1087.91296926246</v>
      </c>
      <c r="V60" s="306" t="n">
        <f aca="false">IF(V$37&lt;YEAR(Startops1),0,HLOOKUP(V$37,CF_Table,CF!$AB$66))</f>
        <v>-972.072061691106</v>
      </c>
      <c r="W60" s="306" t="n">
        <f aca="false">IF(W$37&lt;YEAR(Startops1),0,HLOOKUP(W$37,CF_Table,CF!$AB$66))</f>
        <v>-1604.3943892397</v>
      </c>
      <c r="X60" s="306" t="n">
        <f aca="false">IF(X$37&lt;YEAR(Startops1),0,HLOOKUP(X$37,CF_Table,CF!$AB$66))</f>
        <v>-1844.51473458374</v>
      </c>
      <c r="Y60" s="306" t="n">
        <f aca="false">IF(Y$37&lt;YEAR(Startops1),0,HLOOKUP(Y$37,CF_Table,CF!$AB$66))</f>
        <v>-1989.36528231723</v>
      </c>
      <c r="Z60" s="306" t="n">
        <f aca="false">IF(Z$37&lt;YEAR(Startops1),0,HLOOKUP(Z$37,CF_Table,CF!$AB$66))</f>
        <v>-2087.51010088537</v>
      </c>
      <c r="AA60" s="306" t="n">
        <f aca="false">IF(AA$37&lt;YEAR(Startops1),0,HLOOKUP(AA$37,CF_Table,CF!$AB$66))</f>
        <v>-2276.40081629353</v>
      </c>
      <c r="AB60" s="306" t="n">
        <f aca="false">IF(AB$37&lt;YEAR(Startops1),0,HLOOKUP(AB$37,CF_Table,CF!$AB$66))</f>
        <v>-1089.76708082191</v>
      </c>
      <c r="AC60" s="307" t="n">
        <f aca="false">SUM(G60:AB60)</f>
        <v>-15766.5773484948</v>
      </c>
    </row>
    <row r="61" customFormat="false" ht="12.75" hidden="false" customHeight="false" outlineLevel="0" collapsed="false">
      <c r="A61" s="37"/>
      <c r="C61" s="39" t="s">
        <v>944</v>
      </c>
      <c r="D61" s="39"/>
      <c r="E61" s="39"/>
      <c r="F61" s="39"/>
      <c r="G61" s="61" t="n">
        <f aca="false">SUM(G57:G60)</f>
        <v>0</v>
      </c>
      <c r="H61" s="61" t="n">
        <f aca="false">SUM(H57:H60)</f>
        <v>0</v>
      </c>
      <c r="I61" s="61" t="n">
        <f aca="false">SUM(I57:I60)</f>
        <v>0</v>
      </c>
      <c r="J61" s="61" t="n">
        <f aca="false">SUM(J57:J60)</f>
        <v>6738.04334762065</v>
      </c>
      <c r="K61" s="61" t="n">
        <f aca="false">SUM(K57:K60)</f>
        <v>12102.6399825048</v>
      </c>
      <c r="L61" s="61" t="n">
        <f aca="false">SUM(L57:L60)</f>
        <v>11576.5726233661</v>
      </c>
      <c r="M61" s="61" t="n">
        <f aca="false">SUM(M57:M60)</f>
        <v>12481.1366175985</v>
      </c>
      <c r="N61" s="61" t="n">
        <f aca="false">SUM(N57:N60)</f>
        <v>13264.5386539243</v>
      </c>
      <c r="O61" s="61" t="n">
        <f aca="false">SUM(O57:O60)</f>
        <v>13543.2101037481</v>
      </c>
      <c r="P61" s="61" t="n">
        <f aca="false">SUM(P57:P60)</f>
        <v>13861.5874417978</v>
      </c>
      <c r="Q61" s="61" t="n">
        <f aca="false">SUM(Q57:Q60)</f>
        <v>13808.7151466987</v>
      </c>
      <c r="R61" s="61" t="n">
        <f aca="false">SUM(R57:R60)</f>
        <v>14140.1775694307</v>
      </c>
      <c r="S61" s="61" t="n">
        <f aca="false">SUM(S57:S60)</f>
        <v>14313.2634203305</v>
      </c>
      <c r="T61" s="61" t="n">
        <f aca="false">SUM(T57:T60)</f>
        <v>14626.4561637936</v>
      </c>
      <c r="U61" s="61" t="n">
        <f aca="false">SUM(U57:U60)</f>
        <v>14902.3214512969</v>
      </c>
      <c r="V61" s="61" t="n">
        <f aca="false">SUM(V57:V60)</f>
        <v>14104.2424750553</v>
      </c>
      <c r="W61" s="61" t="n">
        <f aca="false">SUM(W57:W60)</f>
        <v>15031.0527104967</v>
      </c>
      <c r="X61" s="61" t="n">
        <f aca="false">SUM(X57:X60)</f>
        <v>15335.3214066101</v>
      </c>
      <c r="Y61" s="61" t="n">
        <f aca="false">SUM(Y57:Y60)</f>
        <v>15657.2681256269</v>
      </c>
      <c r="Z61" s="61" t="n">
        <f aca="false">SUM(Z57:Z60)</f>
        <v>16002.5823348883</v>
      </c>
      <c r="AA61" s="61" t="n">
        <f aca="false">SUM(AA57:AA60)</f>
        <v>16322.8095643858</v>
      </c>
      <c r="AB61" s="61" t="n">
        <f aca="false">SUM(AB57:AB60)</f>
        <v>5043.79047526559</v>
      </c>
      <c r="AC61" s="304" t="n">
        <f aca="false">SUM(G61:AB61)</f>
        <v>252855.729614439</v>
      </c>
    </row>
    <row r="62" customFormat="false" ht="12.75" hidden="false" customHeight="false" outlineLevel="0" collapsed="false">
      <c r="A62" s="37"/>
      <c r="D62" s="39"/>
      <c r="E62" s="39"/>
      <c r="F62" s="39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304"/>
    </row>
    <row r="63" customFormat="false" ht="12.75" hidden="false" customHeight="false" outlineLevel="0" collapsed="false">
      <c r="A63" s="114" t="s">
        <v>945</v>
      </c>
      <c r="D63" s="39"/>
      <c r="E63" s="39"/>
      <c r="F63" s="39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304"/>
    </row>
    <row r="64" customFormat="false" ht="12.75" hidden="false" customHeight="false" outlineLevel="0" collapsed="false">
      <c r="A64" s="37"/>
      <c r="B64" s="39" t="s">
        <v>946</v>
      </c>
      <c r="D64" s="39"/>
      <c r="E64" s="39"/>
      <c r="F64" s="39"/>
      <c r="G64" s="61" t="n">
        <f aca="false">IF(G$55&lt;YEAR(Startconst),0,HLOOKUP(DATE(G$55,12,31),Idc_Table,IDC!$AP$67)-SUM($F64:F64))</f>
        <v>6637.97008564951</v>
      </c>
      <c r="H64" s="61" t="n">
        <f aca="false">IF(H$55&lt;YEAR(Startconst),0,HLOOKUP(DATE(H$55,12,31),Idc_Table,IDC!$AP$67)-SUM($F64:G64))</f>
        <v>22492.5427415822</v>
      </c>
      <c r="I64" s="61" t="n">
        <f aca="false">IF(I$55&lt;YEAR(Startconst),0,HLOOKUP(DATE(I$55,12,31),Idc_Table,IDC!$AP$67)-SUM($F64:H64))</f>
        <v>0</v>
      </c>
      <c r="J64" s="61" t="n">
        <f aca="false">IF(J$55&lt;YEAR(Startconst),0,HLOOKUP(DATE(J$55,12,31),Idc_Table,IDC!$AP$67)-SUM($F64:I64))</f>
        <v>0</v>
      </c>
      <c r="K64" s="61" t="n">
        <f aca="false">IF(K$55&lt;YEAR(Startconst),0,HLOOKUP(DATE(K$55,12,31),Idc_Table,IDC!$AP$67)-SUM($F64:J64))</f>
        <v>0</v>
      </c>
      <c r="L64" s="61" t="n">
        <f aca="false">IF(L$55&lt;YEAR(Startconst),0,HLOOKUP(DATE(L$55,12,31),Idc_Table,IDC!$AP$67)-SUM($F64:K64))</f>
        <v>0</v>
      </c>
      <c r="M64" s="61" t="n">
        <f aca="false">IF(M$55&lt;YEAR(Startconst),0,HLOOKUP(DATE(M$55,12,31),Idc_Table,IDC!$AP$67)-SUM($F64:L64))</f>
        <v>0</v>
      </c>
      <c r="N64" s="61" t="n">
        <f aca="false">IF(N$55&lt;YEAR(Startconst),0,HLOOKUP(DATE(N$55,12,31),Idc_Table,IDC!$AP$67)-SUM($F64:M64))</f>
        <v>0</v>
      </c>
      <c r="O64" s="61" t="n">
        <f aca="false">IF(O$55&lt;YEAR(Startconst),0,HLOOKUP(DATE(O$55,12,31),Idc_Table,IDC!$AP$67)-SUM($F64:N64))</f>
        <v>0</v>
      </c>
      <c r="P64" s="61" t="n">
        <f aca="false">IF(P$55&lt;YEAR(Startconst),0,HLOOKUP(DATE(P$55,12,31),Idc_Table,IDC!$AP$67)-SUM($F64:O64))</f>
        <v>0</v>
      </c>
      <c r="Q64" s="61" t="n">
        <f aca="false">IF(Q$55&lt;YEAR(Startconst),0,HLOOKUP(DATE(Q$55,12,31),Idc_Table,IDC!$AP$67)-SUM($F64:P64))</f>
        <v>0</v>
      </c>
      <c r="R64" s="61" t="n">
        <f aca="false">IF(R$55&lt;YEAR(Startconst),0,HLOOKUP(DATE(R$55,12,31),Idc_Table,IDC!$AP$67)-SUM($F64:Q64))</f>
        <v>0</v>
      </c>
      <c r="S64" s="61" t="n">
        <f aca="false">IF(S$55&lt;YEAR(Startconst),0,HLOOKUP(DATE(S$55,12,31),Idc_Table,IDC!$AP$67)-SUM($F64:R64))</f>
        <v>0</v>
      </c>
      <c r="T64" s="61" t="n">
        <f aca="false">IF(T$55&lt;YEAR(Startconst),0,HLOOKUP(DATE(T$55,12,31),Idc_Table,IDC!$AP$67)-SUM($F64:S64))</f>
        <v>0</v>
      </c>
      <c r="U64" s="61" t="n">
        <f aca="false">IF(U$55&lt;YEAR(Startconst),0,HLOOKUP(DATE(U$55,12,31),Idc_Table,IDC!$AP$67)-SUM($F64:T64))</f>
        <v>0</v>
      </c>
      <c r="V64" s="61" t="n">
        <f aca="false">IF(V$55&lt;YEAR(Startconst),0,HLOOKUP(DATE(V$55,12,31),Idc_Table,IDC!$AP$67)-SUM($F64:U64))</f>
        <v>0</v>
      </c>
      <c r="W64" s="61" t="n">
        <f aca="false">IF(W$55&lt;YEAR(Startconst),0,HLOOKUP(DATE(W$55,12,31),Idc_Table,IDC!$AP$67)-SUM($F64:V64))</f>
        <v>0</v>
      </c>
      <c r="X64" s="61" t="n">
        <f aca="false">IF(X$55&lt;YEAR(Startconst),0,HLOOKUP(DATE(X$55,12,31),Idc_Table,IDC!$AP$67)-SUM($F64:W64))</f>
        <v>0</v>
      </c>
      <c r="Y64" s="61" t="n">
        <f aca="false">IF(Y$55&lt;YEAR(Startconst),0,HLOOKUP(DATE(Y$55,12,31),Idc_Table,IDC!$AP$67)-SUM($F64:X64))</f>
        <v>0</v>
      </c>
      <c r="Z64" s="61" t="n">
        <f aca="false">IF(Z$55&lt;YEAR(Startconst),0,HLOOKUP(DATE(Z$55,12,31),Idc_Table,IDC!$AP$67)-SUM($F64:Y64))</f>
        <v>0</v>
      </c>
      <c r="AA64" s="61" t="n">
        <f aca="false">IF(AA$55&lt;YEAR(Startconst),0,HLOOKUP(DATE(AA$55,12,31),Idc_Table,IDC!$AP$67)-SUM($F64:Z64))</f>
        <v>0</v>
      </c>
      <c r="AB64" s="61" t="n">
        <f aca="false">IF(AB$55&lt;YEAR(Startconst),0,HLOOKUP(DATE(AB$55,12,31),Idc_Table,IDC!$AP$67)-SUM($F64:AA64))</f>
        <v>0</v>
      </c>
      <c r="AC64" s="304" t="n">
        <f aca="false">SUM(G64:AB64)</f>
        <v>29130.5128272317</v>
      </c>
    </row>
    <row r="65" customFormat="false" ht="12.75" hidden="false" customHeight="false" outlineLevel="0" collapsed="false">
      <c r="A65" s="37"/>
      <c r="B65" s="39" t="s">
        <v>947</v>
      </c>
      <c r="D65" s="39"/>
      <c r="E65" s="39"/>
      <c r="F65" s="39"/>
      <c r="G65" s="61" t="n">
        <f aca="false">IF(G$55&lt;YEAR(Startconst),0,HLOOKUP(DATE(G$55,12,31),Idc_Table,IDC!$AP$75)-SUM($F65:F65))</f>
        <v>0</v>
      </c>
      <c r="H65" s="61" t="n">
        <f aca="false">IF(H$55&lt;YEAR(Startconst),0,HLOOKUP(DATE(H$55,12,31),Idc_Table,IDC!$AP$75)-SUM($F65:G65))</f>
        <v>27218.2181047322</v>
      </c>
      <c r="I65" s="61" t="n">
        <f aca="false">IF(I$55&lt;YEAR(Startconst),0,HLOOKUP(DATE(I$55,12,31),Idc_Table,IDC!$AP$75)-SUM($F65:H65))</f>
        <v>46166.165405695</v>
      </c>
      <c r="J65" s="61" t="n">
        <f aca="false">IF(J$55&lt;YEAR(Startconst),0,HLOOKUP(DATE(J$55,12,31),Idc_Table,IDC!$AP$75)-SUM($F65:I65))</f>
        <v>0</v>
      </c>
      <c r="K65" s="61" t="n">
        <f aca="false">IF(K$55&lt;YEAR(Startconst),0,HLOOKUP(DATE(K$55,12,31),Idc_Table,IDC!$AP$75)-SUM($F65:J65))</f>
        <v>0</v>
      </c>
      <c r="L65" s="61" t="n">
        <f aca="false">IF(L$55&lt;YEAR(Startconst),0,HLOOKUP(DATE(L$55,12,31),Idc_Table,IDC!$AP$75)-SUM($F65:K65))</f>
        <v>0</v>
      </c>
      <c r="M65" s="61" t="n">
        <f aca="false">IF(M$55&lt;YEAR(Startconst),0,HLOOKUP(DATE(M$55,12,31),Idc_Table,IDC!$AP$75)-SUM($F65:L65))</f>
        <v>0</v>
      </c>
      <c r="N65" s="61" t="n">
        <f aca="false">IF(N$55&lt;YEAR(Startconst),0,HLOOKUP(DATE(N$55,12,31),Idc_Table,IDC!$AP$75)-SUM($F65:M65))</f>
        <v>0</v>
      </c>
      <c r="O65" s="61" t="n">
        <f aca="false">IF(O$55&lt;YEAR(Startconst),0,HLOOKUP(DATE(O$55,12,31),Idc_Table,IDC!$AP$75)-SUM($F65:N65))</f>
        <v>0</v>
      </c>
      <c r="P65" s="61" t="n">
        <f aca="false">IF(P$55&lt;YEAR(Startconst),0,HLOOKUP(DATE(P$55,12,31),Idc_Table,IDC!$AP$75)-SUM($F65:O65))</f>
        <v>0</v>
      </c>
      <c r="Q65" s="61" t="n">
        <f aca="false">IF(Q$55&lt;YEAR(Startconst),0,HLOOKUP(DATE(Q$55,12,31),Idc_Table,IDC!$AP$75)-SUM($F65:P65))</f>
        <v>0</v>
      </c>
      <c r="R65" s="61" t="n">
        <f aca="false">IF(R$55&lt;YEAR(Startconst),0,HLOOKUP(DATE(R$55,12,31),Idc_Table,IDC!$AP$75)-SUM($F65:Q65))</f>
        <v>0</v>
      </c>
      <c r="S65" s="61" t="n">
        <f aca="false">IF(S$55&lt;YEAR(Startconst),0,HLOOKUP(DATE(S$55,12,31),Idc_Table,IDC!$AP$75)-SUM($F65:R65))</f>
        <v>0</v>
      </c>
      <c r="T65" s="61" t="n">
        <f aca="false">IF(T$55&lt;YEAR(Startconst),0,HLOOKUP(DATE(T$55,12,31),Idc_Table,IDC!$AP$75)-SUM($F65:S65))</f>
        <v>0</v>
      </c>
      <c r="U65" s="61" t="n">
        <f aca="false">IF(U$55&lt;YEAR(Startconst),0,HLOOKUP(DATE(U$55,12,31),Idc_Table,IDC!$AP$75)-SUM($F65:T65))</f>
        <v>0</v>
      </c>
      <c r="V65" s="61" t="n">
        <f aca="false">IF(V$55&lt;YEAR(Startconst),0,HLOOKUP(DATE(V$55,12,31),Idc_Table,IDC!$AP$75)-SUM($F65:U65))</f>
        <v>0</v>
      </c>
      <c r="W65" s="61" t="n">
        <f aca="false">IF(W$55&lt;YEAR(Startconst),0,HLOOKUP(DATE(W$55,12,31),Idc_Table,IDC!$AP$75)-SUM($F65:V65))</f>
        <v>0</v>
      </c>
      <c r="X65" s="61" t="n">
        <f aca="false">IF(X$55&lt;YEAR(Startconst),0,HLOOKUP(DATE(X$55,12,31),Idc_Table,IDC!$AP$75)-SUM($F65:W65))</f>
        <v>0</v>
      </c>
      <c r="Y65" s="61" t="n">
        <f aca="false">IF(Y$55&lt;YEAR(Startconst),0,HLOOKUP(DATE(Y$55,12,31),Idc_Table,IDC!$AP$75)-SUM($F65:X65))</f>
        <v>0</v>
      </c>
      <c r="Z65" s="61" t="n">
        <f aca="false">IF(Z$55&lt;YEAR(Startconst),0,HLOOKUP(DATE(Z$55,12,31),Idc_Table,IDC!$AP$75)-SUM($F65:Y65))</f>
        <v>0</v>
      </c>
      <c r="AA65" s="61" t="n">
        <f aca="false">IF(AA$55&lt;YEAR(Startconst),0,HLOOKUP(DATE(AA$55,12,31),Idc_Table,IDC!$AP$75)-SUM($F65:Z65))</f>
        <v>0</v>
      </c>
      <c r="AB65" s="61" t="n">
        <f aca="false">IF(AB$55&lt;YEAR(Startconst),0,HLOOKUP(DATE(AB$55,12,31),Idc_Table,IDC!$AP$75)-SUM($F65:AA65))</f>
        <v>0</v>
      </c>
      <c r="AC65" s="304" t="n">
        <f aca="false">SUM(G65:AB65)</f>
        <v>73384.3835104272</v>
      </c>
    </row>
    <row r="66" customFormat="false" ht="12.75" hidden="false" customHeight="false" outlineLevel="0" collapsed="false">
      <c r="A66" s="37"/>
      <c r="B66" s="39" t="s">
        <v>948</v>
      </c>
      <c r="D66" s="39"/>
      <c r="E66" s="39"/>
      <c r="F66" s="39"/>
      <c r="G66" s="61" t="n">
        <f aca="false">IF(G$55=YEAR(Fin_Close),-SUM($F65:G65),0)</f>
        <v>0</v>
      </c>
      <c r="H66" s="61" t="n">
        <f aca="false">IF(H$55=YEAR(Fin_Close),-SUM($F65:H65),0)</f>
        <v>0</v>
      </c>
      <c r="I66" s="61" t="n">
        <f aca="false">IF(I$55=YEAR(Fin_Close),-SUM($F65:I65),0)</f>
        <v>-73384.3835104272</v>
      </c>
      <c r="J66" s="61" t="n">
        <f aca="false">IF(J$55=YEAR(Fin_Close),-SUM($F65:J65),0)</f>
        <v>0</v>
      </c>
      <c r="K66" s="61" t="n">
        <f aca="false">IF(K$55=YEAR(Fin_Close),-SUM($F65:K65),0)</f>
        <v>0</v>
      </c>
      <c r="L66" s="61" t="n">
        <f aca="false">IF(L$55=YEAR(Fin_Close),-SUM($F65:L65),0)</f>
        <v>0</v>
      </c>
      <c r="M66" s="61" t="n">
        <f aca="false">IF(M$55=YEAR(Fin_Close),-SUM($F65:M65),0)</f>
        <v>0</v>
      </c>
      <c r="N66" s="61" t="n">
        <f aca="false">IF(N$55=YEAR(Fin_Close),-SUM($F65:N65),0)</f>
        <v>0</v>
      </c>
      <c r="O66" s="61" t="n">
        <f aca="false">IF(O$55=YEAR(Fin_Close),-SUM($F65:O65),0)</f>
        <v>0</v>
      </c>
      <c r="P66" s="61" t="n">
        <f aca="false">IF(P$55=YEAR(Fin_Close),-SUM($F65:P65),0)</f>
        <v>0</v>
      </c>
      <c r="Q66" s="61" t="n">
        <f aca="false">IF(Q$55=YEAR(Fin_Close),-SUM($F65:Q65),0)</f>
        <v>0</v>
      </c>
      <c r="R66" s="61" t="n">
        <f aca="false">IF(R$55=YEAR(Fin_Close),-SUM($F65:R65),0)</f>
        <v>0</v>
      </c>
      <c r="S66" s="61" t="n">
        <f aca="false">IF(S$55=YEAR(Fin_Close),-SUM($F65:S65),0)</f>
        <v>0</v>
      </c>
      <c r="T66" s="61" t="n">
        <f aca="false">IF(T$55=YEAR(Fin_Close),-SUM($F65:T65),0)</f>
        <v>0</v>
      </c>
      <c r="U66" s="61" t="n">
        <f aca="false">IF(U$55=YEAR(Fin_Close),-SUM($F65:U65),0)</f>
        <v>0</v>
      </c>
      <c r="V66" s="61" t="n">
        <f aca="false">IF(V$55=YEAR(Fin_Close),-SUM($F65:V65),0)</f>
        <v>0</v>
      </c>
      <c r="W66" s="61" t="n">
        <f aca="false">IF(W$55=YEAR(Fin_Close),-SUM($F65:W65),0)</f>
        <v>0</v>
      </c>
      <c r="X66" s="61" t="n">
        <f aca="false">IF(X$55=YEAR(Fin_Close),-SUM($F65:X65),0)</f>
        <v>0</v>
      </c>
      <c r="Y66" s="61" t="n">
        <f aca="false">IF(Y$55=YEAR(Fin_Close),-SUM($F65:Y65),0)</f>
        <v>0</v>
      </c>
      <c r="Z66" s="61" t="n">
        <f aca="false">IF(Z$55=YEAR(Fin_Close),-SUM($F65:Z65),0)</f>
        <v>0</v>
      </c>
      <c r="AA66" s="61" t="n">
        <f aca="false">IF(AA$55=YEAR(Fin_Close),-SUM($F65:AA65),0)</f>
        <v>0</v>
      </c>
      <c r="AB66" s="61" t="n">
        <f aca="false">IF(AB$55=YEAR(Fin_Close),-SUM($F65:AB65),0)</f>
        <v>0</v>
      </c>
      <c r="AC66" s="304" t="n">
        <f aca="false">SUM(G66:AB66)</f>
        <v>-73384.3835104272</v>
      </c>
    </row>
    <row r="67" customFormat="false" ht="12.75" hidden="false" customHeight="false" outlineLevel="0" collapsed="false">
      <c r="A67" s="37"/>
      <c r="B67" s="39" t="s">
        <v>949</v>
      </c>
      <c r="D67" s="39"/>
      <c r="E67" s="39"/>
      <c r="F67" s="39"/>
      <c r="G67" s="61" t="n">
        <f aca="false">IF(G$55&lt;YEAR(Startconst),0,HLOOKUP(DATE(G$55,12,31),Idc_Table,IDC!$AP$38)-SUM($F67:F67))</f>
        <v>0</v>
      </c>
      <c r="H67" s="61" t="n">
        <f aca="false">IF(H$55&lt;YEAR(Startconst),0,HLOOKUP(DATE(H$55,12,31),Idc_Table,IDC!$AP$38)-SUM($F67:G67))</f>
        <v>0</v>
      </c>
      <c r="I67" s="61" t="n">
        <f aca="false">IF(I$55&lt;YEAR(Startconst),0,HLOOKUP(DATE(I$55,12,31),Idc_Table,IDC!$AP$38)-SUM($F67:H67))</f>
        <v>74443.6232721543</v>
      </c>
      <c r="J67" s="61" t="n">
        <f aca="false">IF(J$55&lt;YEAR(Startconst),0,HLOOKUP(DATE(J$55,12,31),Idc_Table,IDC!$AP$38)-SUM($F67:I67))</f>
        <v>1491.17951406115</v>
      </c>
      <c r="K67" s="61" t="n">
        <f aca="false">IF(K$55&lt;YEAR(Startconst),0,HLOOKUP(DATE(K$55,12,31),Idc_Table,IDC!$AP$38)-SUM($F67:J67))</f>
        <v>0</v>
      </c>
      <c r="L67" s="61" t="n">
        <f aca="false">IF(L$55&lt;YEAR(Startconst),0,HLOOKUP(DATE(L$55,12,31),Idc_Table,IDC!$AP$38)-SUM($F67:K67))</f>
        <v>0</v>
      </c>
      <c r="M67" s="61" t="n">
        <f aca="false">IF(M$55&lt;YEAR(Startconst),0,HLOOKUP(DATE(M$55,12,31),Idc_Table,IDC!$AP$38)-SUM($F67:L67))</f>
        <v>0</v>
      </c>
      <c r="N67" s="61" t="n">
        <f aca="false">IF(N$55&lt;YEAR(Startconst),0,HLOOKUP(DATE(N$55,12,31),Idc_Table,IDC!$AP$38)-SUM($F67:M67))</f>
        <v>0</v>
      </c>
      <c r="O67" s="61" t="n">
        <f aca="false">IF(O$55&lt;YEAR(Startconst),0,HLOOKUP(DATE(O$55,12,31),Idc_Table,IDC!$AP$38)-SUM($F67:N67))</f>
        <v>0</v>
      </c>
      <c r="P67" s="61" t="n">
        <f aca="false">IF(P$55&lt;YEAR(Startconst),0,HLOOKUP(DATE(P$55,12,31),Idc_Table,IDC!$AP$38)-SUM($F67:O67))</f>
        <v>0</v>
      </c>
      <c r="Q67" s="61" t="n">
        <f aca="false">IF(Q$55&lt;YEAR(Startconst),0,HLOOKUP(DATE(Q$55,12,31),Idc_Table,IDC!$AP$38)-SUM($F67:P67))</f>
        <v>0</v>
      </c>
      <c r="R67" s="61" t="n">
        <f aca="false">IF(R$55&lt;YEAR(Startconst),0,HLOOKUP(DATE(R$55,12,31),Idc_Table,IDC!$AP$38)-SUM($F67:Q67))</f>
        <v>0</v>
      </c>
      <c r="S67" s="61" t="n">
        <f aca="false">IF(S$55&lt;YEAR(Startconst),0,HLOOKUP(DATE(S$55,12,31),Idc_Table,IDC!$AP$38)-SUM($F67:R67))</f>
        <v>0</v>
      </c>
      <c r="T67" s="61" t="n">
        <f aca="false">IF(T$55&lt;YEAR(Startconst),0,HLOOKUP(DATE(T$55,12,31),Idc_Table,IDC!$AP$38)-SUM($F67:S67))</f>
        <v>0</v>
      </c>
      <c r="U67" s="61" t="n">
        <f aca="false">IF(U$55&lt;YEAR(Startconst),0,HLOOKUP(DATE(U$55,12,31),Idc_Table,IDC!$AP$38)-SUM($F67:T67))</f>
        <v>0</v>
      </c>
      <c r="V67" s="61" t="n">
        <f aca="false">IF(V$55&lt;YEAR(Startconst),0,HLOOKUP(DATE(V$55,12,31),Idc_Table,IDC!$AP$38)-SUM($F67:U67))</f>
        <v>0</v>
      </c>
      <c r="W67" s="61" t="n">
        <f aca="false">IF(W$55&lt;YEAR(Startconst),0,HLOOKUP(DATE(W$55,12,31),Idc_Table,IDC!$AP$38)-SUM($F67:V67))</f>
        <v>0</v>
      </c>
      <c r="X67" s="61" t="n">
        <f aca="false">IF(X$55&lt;YEAR(Startconst),0,HLOOKUP(DATE(X$55,12,31),Idc_Table,IDC!$AP$38)-SUM($F67:W67))</f>
        <v>0</v>
      </c>
      <c r="Y67" s="61" t="n">
        <f aca="false">IF(Y$55&lt;YEAR(Startconst),0,HLOOKUP(DATE(Y$55,12,31),Idc_Table,IDC!$AP$38)-SUM($F67:X67))</f>
        <v>0</v>
      </c>
      <c r="Z67" s="61" t="n">
        <f aca="false">IF(Z$55&lt;YEAR(Startconst),0,HLOOKUP(DATE(Z$55,12,31),Idc_Table,IDC!$AP$38)-SUM($F67:Y67))</f>
        <v>0</v>
      </c>
      <c r="AA67" s="61" t="n">
        <f aca="false">IF(AA$55&lt;YEAR(Startconst),0,HLOOKUP(DATE(AA$55,12,31),Idc_Table,IDC!$AP$38)-SUM($F67:Z67))</f>
        <v>0</v>
      </c>
      <c r="AB67" s="61" t="n">
        <f aca="false">IF(AB$55&lt;YEAR(Startconst),0,HLOOKUP(DATE(AB$55,12,31),Idc_Table,IDC!$AP$38)-SUM($F67:AA67))</f>
        <v>0</v>
      </c>
      <c r="AC67" s="304" t="n">
        <f aca="false">SUM(G67:AB67)</f>
        <v>75934.8027862155</v>
      </c>
    </row>
    <row r="68" customFormat="false" ht="12.75" hidden="false" customHeight="false" outlineLevel="0" collapsed="false">
      <c r="A68" s="37"/>
      <c r="B68" s="39" t="s">
        <v>950</v>
      </c>
      <c r="D68" s="39"/>
      <c r="E68" s="39"/>
      <c r="F68" s="39"/>
      <c r="G68" s="61" t="n">
        <f aca="false">IF(G$37&lt;YEAR(Startops1),0,HLOOKUP(G$37,CF_Table,CF!$AB$67))</f>
        <v>0</v>
      </c>
      <c r="H68" s="61" t="n">
        <f aca="false">IF(H$37&lt;YEAR(Startops1),0,HLOOKUP(H$37,CF_Table,CF!$AB$67))</f>
        <v>0</v>
      </c>
      <c r="I68" s="61" t="n">
        <f aca="false">IF(I$37&lt;YEAR(Startops1),0,HLOOKUP(I$37,CF_Table,CF!$AB$67))</f>
        <v>0</v>
      </c>
      <c r="J68" s="61" t="n">
        <f aca="false">IF(J$37&lt;YEAR(Startops1),0,HLOOKUP(J$37,CF_Table,CF!$AB$67))</f>
        <v>-0</v>
      </c>
      <c r="K68" s="61" t="n">
        <f aca="false">IF(K$37&lt;YEAR(Startops1),0,HLOOKUP(K$37,CF_Table,CF!$AB$67))</f>
        <v>-1138.91356350354</v>
      </c>
      <c r="L68" s="61" t="n">
        <f aca="false">IF(L$37&lt;YEAR(Startops1),0,HLOOKUP(L$37,CF_Table,CF!$AB$67))</f>
        <v>-1930.91355656376</v>
      </c>
      <c r="M68" s="61" t="n">
        <f aca="false">IF(M$37&lt;YEAR(Startops1),0,HLOOKUP(M$37,CF_Table,CF!$AB$67))</f>
        <v>-5423.91448472967</v>
      </c>
      <c r="N68" s="61" t="n">
        <f aca="false">IF(N$37&lt;YEAR(Startops1),0,HLOOKUP(N$37,CF_Table,CF!$AB$67))</f>
        <v>-6885.73175722412</v>
      </c>
      <c r="O68" s="61" t="n">
        <f aca="false">IF(O$37&lt;YEAR(Startops1),0,HLOOKUP(O$37,CF_Table,CF!$AB$67))</f>
        <v>-7800.74613079801</v>
      </c>
      <c r="P68" s="61" t="n">
        <f aca="false">IF(P$37&lt;YEAR(Startops1),0,HLOOKUP(P$37,CF_Table,CF!$AB$67))</f>
        <v>-8370.25715169463</v>
      </c>
      <c r="Q68" s="61" t="n">
        <f aca="false">IF(Q$37&lt;YEAR(Startops1),0,HLOOKUP(Q$37,CF_Table,CF!$AB$67))</f>
        <v>-6350.3913975813</v>
      </c>
      <c r="R68" s="61" t="n">
        <f aca="false">IF(R$37&lt;YEAR(Startops1),0,HLOOKUP(R$37,CF_Table,CF!$AB$67))</f>
        <v>-4330.52564346797</v>
      </c>
      <c r="S68" s="61" t="n">
        <f aca="false">IF(S$37&lt;YEAR(Startops1),0,HLOOKUP(S$37,CF_Table,CF!$AB$67))</f>
        <v>-4330.52564346797</v>
      </c>
      <c r="T68" s="61" t="n">
        <f aca="false">IF(T$37&lt;YEAR(Startops1),0,HLOOKUP(T$37,CF_Table,CF!$AB$67))</f>
        <v>-5340.45852052463</v>
      </c>
      <c r="U68" s="61" t="n">
        <f aca="false">IF(U$37&lt;YEAR(Startops1),0,HLOOKUP(U$37,CF_Table,CF!$AB$67))</f>
        <v>-6350.3913975813</v>
      </c>
      <c r="V68" s="61" t="n">
        <f aca="false">IF(V$37&lt;YEAR(Startops1),0,HLOOKUP(V$37,CF_Table,CF!$AB$67))</f>
        <v>-6350.3913975813</v>
      </c>
      <c r="W68" s="61" t="n">
        <f aca="false">IF(W$37&lt;YEAR(Startops1),0,HLOOKUP(W$37,CF_Table,CF!$AB$67))</f>
        <v>-6578.19580593994</v>
      </c>
      <c r="X68" s="61" t="n">
        <f aca="false">IF(X$37&lt;YEAR(Startops1),0,HLOOKUP(X$37,CF_Table,CF!$AB$67))</f>
        <v>-4753.44633555736</v>
      </c>
      <c r="Y68" s="61" t="n">
        <f aca="false">IF(Y$37&lt;YEAR(Startops1),0,HLOOKUP(Y$37,CF_Table,CF!$AB$67))</f>
        <v>-0</v>
      </c>
      <c r="Z68" s="61" t="n">
        <f aca="false">IF(Z$37&lt;YEAR(Startops1),0,HLOOKUP(Z$37,CF_Table,CF!$AB$67))</f>
        <v>-0</v>
      </c>
      <c r="AA68" s="61" t="n">
        <f aca="false">IF(AA$37&lt;YEAR(Startops1),0,HLOOKUP(AA$37,CF_Table,CF!$AB$67))</f>
        <v>-0</v>
      </c>
      <c r="AB68" s="61" t="n">
        <f aca="false">IF(AB$37&lt;YEAR(Startops1),0,HLOOKUP(AB$37,CF_Table,CF!$AB$67))</f>
        <v>-0</v>
      </c>
      <c r="AC68" s="304" t="n">
        <f aca="false">SUM(G68:AB68)</f>
        <v>-75934.8027862155</v>
      </c>
    </row>
    <row r="69" customFormat="false" ht="12.75" hidden="false" customHeight="false" outlineLevel="0" collapsed="false">
      <c r="A69" s="37"/>
      <c r="B69" s="39" t="s">
        <v>951</v>
      </c>
      <c r="D69" s="39"/>
      <c r="E69" s="39"/>
      <c r="F69" s="39"/>
      <c r="G69" s="61" t="n">
        <f aca="false">IF(G$55&lt;YEAR(Startconst),0,HLOOKUP(DATE(G$55,12,31),Idc_Table,IDC!$AP$46)-SUM($F69:F69))</f>
        <v>0</v>
      </c>
      <c r="H69" s="61" t="n">
        <f aca="false">IF(H$55&lt;YEAR(Startconst),0,HLOOKUP(DATE(H$55,12,31),Idc_Table,IDC!$AP$46)-SUM($F69:G69))</f>
        <v>0</v>
      </c>
      <c r="I69" s="61" t="n">
        <f aca="false">IF(I$55&lt;YEAR(Startconst),0,HLOOKUP(DATE(I$55,12,31),Idc_Table,IDC!$AP$46)-SUM($F69:H69))</f>
        <v>21070.6235687175</v>
      </c>
      <c r="J69" s="61" t="n">
        <f aca="false">IF(J$55&lt;YEAR(Startconst),0,HLOOKUP(DATE(J$55,12,31),Idc_Table,IDC!$AP$46)-SUM($F69:I69))</f>
        <v>422.065461527822</v>
      </c>
      <c r="K69" s="61" t="n">
        <f aca="false">IF(K$55&lt;YEAR(Startconst),0,HLOOKUP(DATE(K$55,12,31),Idc_Table,IDC!$AP$46)-SUM($F69:J69))</f>
        <v>0</v>
      </c>
      <c r="L69" s="61" t="n">
        <f aca="false">IF(L$55&lt;YEAR(Startconst),0,HLOOKUP(DATE(L$55,12,31),Idc_Table,IDC!$AP$46)-SUM($F69:K69))</f>
        <v>0</v>
      </c>
      <c r="M69" s="61" t="n">
        <f aca="false">IF(M$55&lt;YEAR(Startconst),0,HLOOKUP(DATE(M$55,12,31),Idc_Table,IDC!$AP$46)-SUM($F69:L69))</f>
        <v>0</v>
      </c>
      <c r="N69" s="61" t="n">
        <f aca="false">IF(N$55&lt;YEAR(Startconst),0,HLOOKUP(DATE(N$55,12,31),Idc_Table,IDC!$AP$46)-SUM($F69:M69))</f>
        <v>0</v>
      </c>
      <c r="O69" s="61" t="n">
        <f aca="false">IF(O$55&lt;YEAR(Startconst),0,HLOOKUP(DATE(O$55,12,31),Idc_Table,IDC!$AP$46)-SUM($F69:N69))</f>
        <v>0</v>
      </c>
      <c r="P69" s="61" t="n">
        <f aca="false">IF(P$55&lt;YEAR(Startconst),0,HLOOKUP(DATE(P$55,12,31),Idc_Table,IDC!$AP$46)-SUM($F69:O69))</f>
        <v>0</v>
      </c>
      <c r="Q69" s="61" t="n">
        <f aca="false">IF(Q$55&lt;YEAR(Startconst),0,HLOOKUP(DATE(Q$55,12,31),Idc_Table,IDC!$AP$46)-SUM($F69:P69))</f>
        <v>0</v>
      </c>
      <c r="R69" s="61" t="n">
        <f aca="false">IF(R$55&lt;YEAR(Startconst),0,HLOOKUP(DATE(R$55,12,31),Idc_Table,IDC!$AP$46)-SUM($F69:Q69))</f>
        <v>0</v>
      </c>
      <c r="S69" s="61" t="n">
        <f aca="false">IF(S$55&lt;YEAR(Startconst),0,HLOOKUP(DATE(S$55,12,31),Idc_Table,IDC!$AP$46)-SUM($F69:R69))</f>
        <v>0</v>
      </c>
      <c r="T69" s="61" t="n">
        <f aca="false">IF(T$55&lt;YEAR(Startconst),0,HLOOKUP(DATE(T$55,12,31),Idc_Table,IDC!$AP$46)-SUM($F69:S69))</f>
        <v>0</v>
      </c>
      <c r="U69" s="61" t="n">
        <f aca="false">IF(U$55&lt;YEAR(Startconst),0,HLOOKUP(DATE(U$55,12,31),Idc_Table,IDC!$AP$46)-SUM($F69:T69))</f>
        <v>0</v>
      </c>
      <c r="V69" s="61" t="n">
        <f aca="false">IF(V$55&lt;YEAR(Startconst),0,HLOOKUP(DATE(V$55,12,31),Idc_Table,IDC!$AP$46)-SUM($F69:U69))</f>
        <v>0</v>
      </c>
      <c r="W69" s="61" t="n">
        <f aca="false">IF(W$55&lt;YEAR(Startconst),0,HLOOKUP(DATE(W$55,12,31),Idc_Table,IDC!$AP$46)-SUM($F69:V69))</f>
        <v>0</v>
      </c>
      <c r="X69" s="61" t="n">
        <f aca="false">IF(X$55&lt;YEAR(Startconst),0,HLOOKUP(DATE(X$55,12,31),Idc_Table,IDC!$AP$46)-SUM($F69:W69))</f>
        <v>0</v>
      </c>
      <c r="Y69" s="61" t="n">
        <f aca="false">IF(Y$55&lt;YEAR(Startconst),0,HLOOKUP(DATE(Y$55,12,31),Idc_Table,IDC!$AP$46)-SUM($F69:X69))</f>
        <v>0</v>
      </c>
      <c r="Z69" s="61" t="n">
        <f aca="false">IF(Z$55&lt;YEAR(Startconst),0,HLOOKUP(DATE(Z$55,12,31),Idc_Table,IDC!$AP$46)-SUM($F69:Y69))</f>
        <v>0</v>
      </c>
      <c r="AA69" s="61" t="n">
        <f aca="false">IF(AA$55&lt;YEAR(Startconst),0,HLOOKUP(DATE(AA$55,12,31),Idc_Table,IDC!$AP$46)-SUM($F69:Z69))</f>
        <v>0</v>
      </c>
      <c r="AB69" s="61" t="n">
        <f aca="false">IF(AB$55&lt;YEAR(Startconst),0,HLOOKUP(DATE(AB$55,12,31),Idc_Table,IDC!$AP$46)-SUM($F69:AA69))</f>
        <v>0</v>
      </c>
      <c r="AC69" s="304" t="n">
        <f aca="false">SUM(G69:AB69)</f>
        <v>21492.6890302453</v>
      </c>
    </row>
    <row r="70" customFormat="false" ht="12.75" hidden="false" customHeight="false" outlineLevel="0" collapsed="false">
      <c r="A70" s="37"/>
      <c r="B70" s="39" t="s">
        <v>952</v>
      </c>
      <c r="D70" s="39"/>
      <c r="E70" s="39"/>
      <c r="F70" s="39"/>
      <c r="G70" s="61" t="n">
        <f aca="false">IF(G$37&lt;YEAR(Startops1),0,HLOOKUP(G$37,CF_Table,CF!$AB$71))</f>
        <v>0</v>
      </c>
      <c r="H70" s="61" t="n">
        <f aca="false">IF(H$37&lt;YEAR(Startops1),0,HLOOKUP(H$37,CF_Table,CF!$AB$71))</f>
        <v>0</v>
      </c>
      <c r="I70" s="61" t="n">
        <f aca="false">IF(I$37&lt;YEAR(Startops1),0,HLOOKUP(I$37,CF_Table,CF!$AB$71))</f>
        <v>0</v>
      </c>
      <c r="J70" s="61" t="n">
        <f aca="false">IF(J$37&lt;YEAR(Startops1),0,HLOOKUP(J$37,CF_Table,CF!$AB$71))</f>
        <v>-0</v>
      </c>
      <c r="K70" s="61" t="n">
        <f aca="false">IF(K$37&lt;YEAR(Startops1),0,HLOOKUP(K$37,CF_Table,CF!$AB$71))</f>
        <v>-962.707768365441</v>
      </c>
      <c r="L70" s="61" t="n">
        <f aca="false">IF(L$37&lt;YEAR(Startops1),0,HLOOKUP(L$37,CF_Table,CF!$AB$71))</f>
        <v>-1091.92721857429</v>
      </c>
      <c r="M70" s="61" t="n">
        <f aca="false">IF(M$37&lt;YEAR(Startops1),0,HLOOKUP(M$37,CF_Table,CF!$AB$71))</f>
        <v>-1238.49114948743</v>
      </c>
      <c r="N70" s="61" t="n">
        <f aca="false">IF(N$37&lt;YEAR(Startops1),0,HLOOKUP(N$37,CF_Table,CF!$AB$71))</f>
        <v>-1404.72762402738</v>
      </c>
      <c r="O70" s="61" t="n">
        <f aca="false">IF(O$37&lt;YEAR(Startops1),0,HLOOKUP(O$37,CF_Table,CF!$AB$71))</f>
        <v>-1593.27718936245</v>
      </c>
      <c r="P70" s="61" t="n">
        <f aca="false">IF(P$37&lt;YEAR(Startops1),0,HLOOKUP(P$37,CF_Table,CF!$AB$71))</f>
        <v>-1807.13482010463</v>
      </c>
      <c r="Q70" s="61" t="n">
        <f aca="false">IF(Q$37&lt;YEAR(Startops1),0,HLOOKUP(Q$37,CF_Table,CF!$AB$71))</f>
        <v>-2049.69749133317</v>
      </c>
      <c r="R70" s="61" t="n">
        <f aca="false">IF(R$37&lt;YEAR(Startops1),0,HLOOKUP(R$37,CF_Table,CF!$AB$71))</f>
        <v>-2324.81813710736</v>
      </c>
      <c r="S70" s="61" t="n">
        <f aca="false">IF(S$37&lt;YEAR(Startops1),0,HLOOKUP(S$37,CF_Table,CF!$AB$71))</f>
        <v>-2636.8668515606</v>
      </c>
      <c r="T70" s="61" t="n">
        <f aca="false">IF(T$37&lt;YEAR(Startops1),0,HLOOKUP(T$37,CF_Table,CF!$AB$71))</f>
        <v>-2990.80030471132</v>
      </c>
      <c r="U70" s="61" t="n">
        <f aca="false">IF(U$37&lt;YEAR(Startops1),0,HLOOKUP(U$37,CF_Table,CF!$AB$71))</f>
        <v>-3392.2404756112</v>
      </c>
      <c r="V70" s="61" t="n">
        <f aca="false">IF(V$37&lt;YEAR(Startops1),0,HLOOKUP(V$37,CF_Table,CF!$AB$71))</f>
        <v>-0</v>
      </c>
      <c r="W70" s="61" t="n">
        <f aca="false">IF(W$37&lt;YEAR(Startops1),0,HLOOKUP(W$37,CF_Table,CF!$AB$71))</f>
        <v>-0</v>
      </c>
      <c r="X70" s="61" t="n">
        <f aca="false">IF(X$37&lt;YEAR(Startops1),0,HLOOKUP(X$37,CF_Table,CF!$AB$71))</f>
        <v>-0</v>
      </c>
      <c r="Y70" s="61" t="n">
        <f aca="false">IF(Y$37&lt;YEAR(Startops1),0,HLOOKUP(Y$37,CF_Table,CF!$AB$71))</f>
        <v>-0</v>
      </c>
      <c r="Z70" s="61" t="n">
        <f aca="false">IF(Z$37&lt;YEAR(Startops1),0,HLOOKUP(Z$37,CF_Table,CF!$AB$71))</f>
        <v>-0</v>
      </c>
      <c r="AA70" s="61" t="n">
        <f aca="false">IF(AA$37&lt;YEAR(Startops1),0,HLOOKUP(AA$37,CF_Table,CF!$AB$71))</f>
        <v>-0</v>
      </c>
      <c r="AB70" s="61" t="n">
        <f aca="false">IF(AB$37&lt;YEAR(Startops1),0,HLOOKUP(AB$37,CF_Table,CF!$AB$71))</f>
        <v>-0</v>
      </c>
      <c r="AC70" s="304" t="n">
        <f aca="false">SUM(G70:AB70)</f>
        <v>-21492.6890302453</v>
      </c>
    </row>
    <row r="71" customFormat="false" ht="12.75" hidden="false" customHeight="false" outlineLevel="0" collapsed="false">
      <c r="A71" s="37"/>
      <c r="B71" s="39" t="s">
        <v>953</v>
      </c>
      <c r="D71" s="39"/>
      <c r="E71" s="39"/>
      <c r="F71" s="39"/>
      <c r="G71" s="61" t="n">
        <f aca="false">IF(G$55&lt;YEAR(Startconst),0,-HLOOKUP(DATE(G$55,12,31),Idc_Table,IDC!$AP$20)-IF(G$55&gt;=YEAR(Startops1),SUM(Depr!$D$13,Depr!$D$15),0)-SUM($G78:G78)-SUM($F71:F71))</f>
        <v>-6637.97008564951</v>
      </c>
      <c r="H71" s="61" t="n">
        <f aca="false">IF(H$55&lt;YEAR(Startconst),0,-HLOOKUP(DATE(H$55,12,31),Idc_Table,IDC!$AP$20)-IF(H$55&gt;=YEAR(Startops1),SUM(Depr!$D$13,Depr!$D$15),0)-SUM($G78:H78)-SUM($F71:G71))</f>
        <v>-49710.7608463144</v>
      </c>
      <c r="I71" s="61" t="n">
        <f aca="false">IF(I$55&lt;YEAR(Startconst),0,-HLOOKUP(DATE(I$55,12,31),Idc_Table,IDC!$AP$20)-IF(I$55&gt;=YEAR(Startops1),SUM(Depr!$D$13,Depr!$D$15),0)-SUM($G78:I78)-SUM($F71:H71))</f>
        <v>-68296.0287361396</v>
      </c>
      <c r="J71" s="61" t="n">
        <f aca="false">IF(J$55&lt;YEAR(Startconst),0,-HLOOKUP(DATE(J$55,12,31),Idc_Table,IDC!$AP$20)-IF(J$55&gt;=YEAR(Startops1),SUM(Depr!$D$13,Depr!$D$15),0)-SUM($G78:J78)-SUM($F71:I71))</f>
        <v>-1767.24497558897</v>
      </c>
      <c r="K71" s="61" t="n">
        <f aca="false">IF(K$55&lt;YEAR(Startconst),0,-HLOOKUP(DATE(K$55,12,31),Idc_Table,IDC!$AP$20)-IF(K$55&gt;=YEAR(Startops1),SUM(Depr!$D$13,Depr!$D$15),0)-SUM($G78:K78)-SUM($F71:J71))</f>
        <v>0</v>
      </c>
      <c r="L71" s="61" t="n">
        <f aca="false">IF(L$55&lt;YEAR(Startconst),0,-HLOOKUP(DATE(L$55,12,31),Idc_Table,IDC!$AP$20)-IF(L$55&gt;=YEAR(Startops1),SUM(Depr!$D$13,Depr!$D$15),0)-SUM($G78:L78)-SUM($F71:K71))</f>
        <v>0</v>
      </c>
      <c r="M71" s="61" t="n">
        <f aca="false">IF(M$55&lt;YEAR(Startconst),0,-HLOOKUP(DATE(M$55,12,31),Idc_Table,IDC!$AP$20)-IF(M$55&gt;=YEAR(Startops1),SUM(Depr!$D$13,Depr!$D$15),0)-SUM($G78:M78)-SUM($F71:L71))</f>
        <v>0</v>
      </c>
      <c r="N71" s="61" t="n">
        <f aca="false">IF(N$55&lt;YEAR(Startconst),0,-HLOOKUP(DATE(N$55,12,31),Idc_Table,IDC!$AP$20)-IF(N$55&gt;=YEAR(Startops1),SUM(Depr!$D$13,Depr!$D$15),0)-SUM($G78:N78)-SUM($F71:M71))</f>
        <v>0</v>
      </c>
      <c r="O71" s="61" t="n">
        <f aca="false">IF(O$55&lt;YEAR(Startconst),0,-HLOOKUP(DATE(O$55,12,31),Idc_Table,IDC!$AP$20)-IF(O$55&gt;=YEAR(Startops1),SUM(Depr!$D$13,Depr!$D$15),0)-SUM($G78:O78)-SUM($F71:N71))</f>
        <v>0</v>
      </c>
      <c r="P71" s="61" t="n">
        <f aca="false">IF(P$55&lt;YEAR(Startconst),0,-HLOOKUP(DATE(P$55,12,31),Idc_Table,IDC!$AP$20)-IF(P$55&gt;=YEAR(Startops1),SUM(Depr!$D$13,Depr!$D$15),0)-SUM($G78:P78)-SUM($F71:O71))</f>
        <v>0</v>
      </c>
      <c r="Q71" s="61" t="n">
        <f aca="false">IF(Q$55&lt;YEAR(Startconst),0,-HLOOKUP(DATE(Q$55,12,31),Idc_Table,IDC!$AP$20)-IF(Q$55&gt;=YEAR(Startops1),SUM(Depr!$D$13,Depr!$D$15),0)-SUM($G78:Q78)-SUM($F71:P71))</f>
        <v>0</v>
      </c>
      <c r="R71" s="61" t="n">
        <f aca="false">IF(R$55&lt;YEAR(Startconst),0,-HLOOKUP(DATE(R$55,12,31),Idc_Table,IDC!$AP$20)-IF(R$55&gt;=YEAR(Startops1),SUM(Depr!$D$13,Depr!$D$15),0)-SUM($G78:R78)-SUM($F71:Q71))</f>
        <v>0</v>
      </c>
      <c r="S71" s="61" t="n">
        <f aca="false">IF(S$55&lt;YEAR(Startconst),0,-HLOOKUP(DATE(S$55,12,31),Idc_Table,IDC!$AP$20)-IF(S$55&gt;=YEAR(Startops1),SUM(Depr!$D$13,Depr!$D$15),0)-SUM($G78:S78)-SUM($F71:R71))</f>
        <v>0</v>
      </c>
      <c r="T71" s="61" t="n">
        <f aca="false">IF(T$55&lt;YEAR(Startconst),0,-HLOOKUP(DATE(T$55,12,31),Idc_Table,IDC!$AP$20)-IF(T$55&gt;=YEAR(Startops1),SUM(Depr!$D$13,Depr!$D$15),0)-SUM($G78:T78)-SUM($F71:S71))</f>
        <v>0</v>
      </c>
      <c r="U71" s="61" t="n">
        <f aca="false">IF(U$55&lt;YEAR(Startconst),0,-HLOOKUP(DATE(U$55,12,31),Idc_Table,IDC!$AP$20)-IF(U$55&gt;=YEAR(Startops1),SUM(Depr!$D$13,Depr!$D$15),0)-SUM($G78:U78)-SUM($F71:T71))</f>
        <v>0</v>
      </c>
      <c r="V71" s="61" t="n">
        <f aca="false">IF(V$55&lt;YEAR(Startconst),0,-HLOOKUP(DATE(V$55,12,31),Idc_Table,IDC!$AP$20)-IF(V$55&gt;=YEAR(Startops1),SUM(Depr!$D$13,Depr!$D$15),0)-SUM($G78:V78)-SUM($F71:U71))</f>
        <v>0</v>
      </c>
      <c r="W71" s="61" t="n">
        <f aca="false">IF(W$55&lt;YEAR(Startconst),0,-HLOOKUP(DATE(W$55,12,31),Idc_Table,IDC!$AP$20)-IF(W$55&gt;=YEAR(Startops1),SUM(Depr!$D$13,Depr!$D$15),0)-SUM($G78:W78)-SUM($F71:V71))</f>
        <v>0</v>
      </c>
      <c r="X71" s="61" t="n">
        <f aca="false">IF(X$55&lt;YEAR(Startconst),0,-HLOOKUP(DATE(X$55,12,31),Idc_Table,IDC!$AP$20)-IF(X$55&gt;=YEAR(Startops1),SUM(Depr!$D$13,Depr!$D$15),0)-SUM($G78:X78)-SUM($F71:W71))</f>
        <v>0</v>
      </c>
      <c r="Y71" s="61" t="n">
        <f aca="false">IF(Y$55&lt;YEAR(Startconst),0,-HLOOKUP(DATE(Y$55,12,31),Idc_Table,IDC!$AP$20)-IF(Y$55&gt;=YEAR(Startops1),SUM(Depr!$D$13,Depr!$D$15),0)-SUM($G78:Y78)-SUM($F71:X71))</f>
        <v>0</v>
      </c>
      <c r="Z71" s="61" t="n">
        <f aca="false">IF(Z$55&lt;YEAR(Startconst),0,-HLOOKUP(DATE(Z$55,12,31),Idc_Table,IDC!$AP$20)-IF(Z$55&gt;=YEAR(Startops1),SUM(Depr!$D$13,Depr!$D$15),0)-SUM($G78:Z78)-SUM($F71:Y71))</f>
        <v>0</v>
      </c>
      <c r="AA71" s="61" t="n">
        <f aca="false">IF(AA$55&lt;YEAR(Startconst),0,-HLOOKUP(DATE(AA$55,12,31),Idc_Table,IDC!$AP$20)-IF(AA$55&gt;=YEAR(Startops1),SUM(Depr!$D$13,Depr!$D$15),0)-SUM($G78:AA78)-SUM($F71:Z71))</f>
        <v>0</v>
      </c>
      <c r="AB71" s="61" t="n">
        <f aca="false">IF(AB$55&lt;YEAR(Startconst),0,-HLOOKUP(DATE(AB$55,12,31),Idc_Table,IDC!$AP$20)-IF(AB$55&gt;=YEAR(Startops1),SUM(Depr!$D$13,Depr!$D$15),0)-SUM($G78:AB78)-SUM($F71:AA71))</f>
        <v>0</v>
      </c>
      <c r="AC71" s="304" t="n">
        <f aca="false">SUM(G71:AB71)</f>
        <v>-126412.004643692</v>
      </c>
    </row>
    <row r="72" customFormat="false" ht="12.75" hidden="false" customHeight="false" outlineLevel="0" collapsed="false">
      <c r="A72" s="37"/>
      <c r="B72" s="39" t="s">
        <v>954</v>
      </c>
      <c r="D72" s="39"/>
      <c r="E72" s="39"/>
      <c r="F72" s="39"/>
      <c r="G72" s="61" t="n">
        <f aca="false">IF(G$55&gt;=YEAR(Startops1),Depr!$F13-SUM($F72:F72),0)</f>
        <v>0</v>
      </c>
      <c r="H72" s="61" t="n">
        <f aca="false">IF(H$55&gt;=YEAR(Startops1),Depr!$F13-SUM($F72:G72),0)</f>
        <v>0</v>
      </c>
      <c r="I72" s="61" t="n">
        <f aca="false">IF(I$55&gt;=YEAR(Startops1),Depr!$F13-SUM($F72:H72),0)</f>
        <v>0</v>
      </c>
      <c r="J72" s="61" t="n">
        <f aca="false">IF(J$55&gt;=YEAR(Startops1),Depr!$F13-SUM($F72:I72),0)</f>
        <v>-146</v>
      </c>
      <c r="K72" s="61" t="n">
        <f aca="false">IF(K$55&gt;=YEAR(Startops1),Depr!$F13-SUM($F72:J72),0)</f>
        <v>0</v>
      </c>
      <c r="L72" s="61" t="n">
        <f aca="false">IF(L$55&gt;=YEAR(Startops1),Depr!$F13-SUM($F72:K72),0)</f>
        <v>0</v>
      </c>
      <c r="M72" s="61" t="n">
        <f aca="false">IF(M$55&gt;=YEAR(Startops1),Depr!$F13-SUM($F72:L72),0)</f>
        <v>0</v>
      </c>
      <c r="N72" s="61" t="n">
        <f aca="false">IF(N$55&gt;=YEAR(Startops1),Depr!$F13-SUM($F72:M72),0)</f>
        <v>0</v>
      </c>
      <c r="O72" s="61" t="n">
        <f aca="false">IF(O$55&gt;=YEAR(Startops1),Depr!$F13-SUM($F72:N72),0)</f>
        <v>0</v>
      </c>
      <c r="P72" s="61" t="n">
        <f aca="false">IF(P$55&gt;=YEAR(Startops1),Depr!$F13-SUM($F72:O72),0)</f>
        <v>0</v>
      </c>
      <c r="Q72" s="61" t="n">
        <f aca="false">IF(Q$55&gt;=YEAR(Startops1),Depr!$F13-SUM($F72:P72),0)</f>
        <v>0</v>
      </c>
      <c r="R72" s="61" t="n">
        <f aca="false">IF(R$55&gt;=YEAR(Startops1),Depr!$F13-SUM($F72:Q72),0)</f>
        <v>0</v>
      </c>
      <c r="S72" s="61" t="n">
        <f aca="false">IF(S$55&gt;=YEAR(Startops1),Depr!$F13-SUM($F72:R72),0)</f>
        <v>0</v>
      </c>
      <c r="T72" s="61" t="n">
        <f aca="false">IF(T$55&gt;=YEAR(Startops1),Depr!$F13-SUM($F72:S72),0)</f>
        <v>0</v>
      </c>
      <c r="U72" s="61" t="n">
        <f aca="false">IF(U$55&gt;=YEAR(Startops1),Depr!$F13-SUM($F72:T72),0)</f>
        <v>0</v>
      </c>
      <c r="V72" s="61" t="n">
        <f aca="false">IF(V$55&gt;=YEAR(Startops1),Depr!$F13-SUM($F72:U72),0)</f>
        <v>0</v>
      </c>
      <c r="W72" s="61" t="n">
        <f aca="false">IF(W$55&gt;=YEAR(Startops1),Depr!$F13-SUM($F72:V72),0)</f>
        <v>0</v>
      </c>
      <c r="X72" s="61" t="n">
        <f aca="false">IF(X$55&gt;=YEAR(Startops1),Depr!$F13-SUM($F72:W72),0)</f>
        <v>0</v>
      </c>
      <c r="Y72" s="61" t="n">
        <f aca="false">IF(Y$55&gt;=YEAR(Startops1),Depr!$F13-SUM($F72:X72),0)</f>
        <v>0</v>
      </c>
      <c r="Z72" s="61" t="n">
        <f aca="false">IF(Z$55&gt;=YEAR(Startops1),Depr!$F13-SUM($F72:Y72),0)</f>
        <v>0</v>
      </c>
      <c r="AA72" s="61" t="n">
        <f aca="false">IF(AA$55&gt;=YEAR(Startops1),Depr!$F13-SUM($F72:Z72),0)</f>
        <v>0</v>
      </c>
      <c r="AB72" s="61" t="n">
        <f aca="false">IF(AB$55&gt;=YEAR(Startops1),Depr!$F13-SUM($F72:AA72),0)</f>
        <v>0</v>
      </c>
      <c r="AC72" s="304" t="n">
        <f aca="false">SUM(G72:AB72)</f>
        <v>-146</v>
      </c>
    </row>
    <row r="73" customFormat="false" ht="12.75" hidden="false" customHeight="false" outlineLevel="0" collapsed="false">
      <c r="A73" s="37"/>
      <c r="B73" s="39" t="s">
        <v>955</v>
      </c>
      <c r="D73" s="39"/>
      <c r="E73" s="39"/>
      <c r="F73" s="39"/>
      <c r="G73" s="61" t="n">
        <f aca="false">IF(G$37&lt;YEAR(Startops1),0,-HLOOKUP(G$37,Reserve_Table,Trapped!$AC$29))</f>
        <v>0</v>
      </c>
      <c r="H73" s="61" t="n">
        <f aca="false">IF(H$37&lt;YEAR(Startops1),0,-HLOOKUP(H$37,Reserve_Table,Trapped!$AC$29))</f>
        <v>0</v>
      </c>
      <c r="I73" s="61" t="n">
        <f aca="false">IF(I$37&lt;YEAR(Startops1),0,-HLOOKUP(I$37,Reserve_Table,Trapped!$AC$29))</f>
        <v>0</v>
      </c>
      <c r="J73" s="61" t="n">
        <f aca="false">IF(J$37&lt;YEAR(Startops1),0,-HLOOKUP(J$37,Reserve_Table,Trapped!$AC$29))</f>
        <v>-417.210678711196</v>
      </c>
      <c r="K73" s="61" t="n">
        <f aca="false">IF(K$37&lt;YEAR(Startops1),0,-HLOOKUP(K$37,Reserve_Table,Trapped!$AC$29))</f>
        <v>-0</v>
      </c>
      <c r="L73" s="61" t="n">
        <f aca="false">IF(L$37&lt;YEAR(Startops1),0,-HLOOKUP(L$37,Reserve_Table,Trapped!$AC$29))</f>
        <v>-0</v>
      </c>
      <c r="M73" s="61" t="n">
        <f aca="false">IF(M$37&lt;YEAR(Startops1),0,-HLOOKUP(M$37,Reserve_Table,Trapped!$AC$29))</f>
        <v>-0</v>
      </c>
      <c r="N73" s="61" t="n">
        <f aca="false">IF(N$37&lt;YEAR(Startops1),0,-HLOOKUP(N$37,Reserve_Table,Trapped!$AC$29))</f>
        <v>-0</v>
      </c>
      <c r="O73" s="61" t="n">
        <f aca="false">IF(O$37&lt;YEAR(Startops1),0,-HLOOKUP(O$37,Reserve_Table,Trapped!$AC$29))</f>
        <v>-0</v>
      </c>
      <c r="P73" s="61" t="n">
        <f aca="false">IF(P$37&lt;YEAR(Startops1),0,-HLOOKUP(P$37,Reserve_Table,Trapped!$AC$29))</f>
        <v>-0</v>
      </c>
      <c r="Q73" s="61" t="n">
        <f aca="false">IF(Q$37&lt;YEAR(Startops1),0,-HLOOKUP(Q$37,Reserve_Table,Trapped!$AC$29))</f>
        <v>-0</v>
      </c>
      <c r="R73" s="61" t="n">
        <f aca="false">IF(R$37&lt;YEAR(Startops1),0,-HLOOKUP(R$37,Reserve_Table,Trapped!$AC$29))</f>
        <v>-901.86206944576</v>
      </c>
      <c r="S73" s="61" t="n">
        <f aca="false">IF(S$37&lt;YEAR(Startops1),0,-HLOOKUP(S$37,Reserve_Table,Trapped!$AC$29))</f>
        <v>-1398.83989883108</v>
      </c>
      <c r="T73" s="61" t="n">
        <f aca="false">IF(T$37&lt;YEAR(Startops1),0,-HLOOKUP(T$37,Reserve_Table,Trapped!$AC$29))</f>
        <v>-1038.37916847248</v>
      </c>
      <c r="U73" s="61" t="n">
        <f aca="false">IF(U$37&lt;YEAR(Startops1),0,-HLOOKUP(U$37,Reserve_Table,Trapped!$AC$29))</f>
        <v>-701.711656224285</v>
      </c>
      <c r="V73" s="61" t="n">
        <f aca="false">IF(V$37&lt;YEAR(Startops1),0,-HLOOKUP(V$37,Reserve_Table,Trapped!$AC$29))</f>
        <v>-3964.0773063303</v>
      </c>
      <c r="W73" s="61" t="n">
        <f aca="false">IF(W$37&lt;YEAR(Startops1),0,-HLOOKUP(W$37,Reserve_Table,Trapped!$AC$29))</f>
        <v>-5180.99532058638</v>
      </c>
      <c r="X73" s="61" t="n">
        <f aca="false">IF(X$37&lt;YEAR(Startops1),0,-HLOOKUP(X$37,Reserve_Table,Trapped!$AC$29))</f>
        <v>-7805.10646010131</v>
      </c>
      <c r="Y73" s="61" t="n">
        <f aca="false">IF(Y$37&lt;YEAR(Startops1),0,-HLOOKUP(Y$37,Reserve_Table,Trapped!$AC$29))</f>
        <v>-13040.7608961221</v>
      </c>
      <c r="Z73" s="61" t="n">
        <f aca="false">IF(Z$37&lt;YEAR(Startops1),0,-HLOOKUP(Z$37,Reserve_Table,Trapped!$AC$29))</f>
        <v>-9217.12572042692</v>
      </c>
      <c r="AA73" s="61" t="n">
        <f aca="false">IF(AA$37&lt;YEAR(Startops1),0,-HLOOKUP(AA$37,Reserve_Table,Trapped!$AC$29))</f>
        <v>-6320.60023218462</v>
      </c>
      <c r="AB73" s="61" t="n">
        <f aca="false">IF(AB$37&lt;YEAR(Startops1),0,-HLOOKUP(AB$37,Reserve_Table,Trapped!$AC$29))</f>
        <v>-0</v>
      </c>
      <c r="AC73" s="304" t="n">
        <f aca="false">SUM(G73:AB73)</f>
        <v>-49986.6694074364</v>
      </c>
    </row>
    <row r="74" customFormat="false" ht="12.75" hidden="false" customHeight="false" outlineLevel="0" collapsed="false">
      <c r="A74" s="37"/>
      <c r="B74" s="39" t="s">
        <v>956</v>
      </c>
      <c r="D74" s="39"/>
      <c r="E74" s="39"/>
      <c r="F74" s="39"/>
      <c r="G74" s="61" t="n">
        <f aca="false">IF(G$37&lt;YEAR(Startops1),0,-HLOOKUP(G$37,Reserve_Table,Trapped!$AC$30))</f>
        <v>0</v>
      </c>
      <c r="H74" s="61" t="n">
        <f aca="false">IF(H$37&lt;YEAR(Startops1),0,-HLOOKUP(H$37,Reserve_Table,Trapped!$AC$30))</f>
        <v>0</v>
      </c>
      <c r="I74" s="61" t="n">
        <f aca="false">IF(I$37&lt;YEAR(Startops1),0,-HLOOKUP(I$37,Reserve_Table,Trapped!$AC$30))</f>
        <v>0</v>
      </c>
      <c r="J74" s="61" t="n">
        <f aca="false">IF(J$37&lt;YEAR(Startops1),0,-HLOOKUP(J$37,Reserve_Table,Trapped!$AC$30))</f>
        <v>-0</v>
      </c>
      <c r="K74" s="61" t="n">
        <f aca="false">IF(K$37&lt;YEAR(Startops1),0,-HLOOKUP(K$37,Reserve_Table,Trapped!$AC$30))</f>
        <v>5093.30482979046</v>
      </c>
      <c r="L74" s="61" t="n">
        <f aca="false">IF(L$37&lt;YEAR(Startops1),0,-HLOOKUP(L$37,Reserve_Table,Trapped!$AC$30))</f>
        <v>6188.13937756333</v>
      </c>
      <c r="M74" s="61" t="n">
        <f aca="false">IF(M$37&lt;YEAR(Startops1),0,-HLOOKUP(M$37,Reserve_Table,Trapped!$AC$30))</f>
        <v>4949.2006012693</v>
      </c>
      <c r="N74" s="61" t="n">
        <f aca="false">IF(N$37&lt;YEAR(Startops1),0,-HLOOKUP(N$37,Reserve_Table,Trapped!$AC$30))</f>
        <v>5319.40289573351</v>
      </c>
      <c r="O74" s="61" t="n">
        <f aca="false">IF(O$37&lt;YEAR(Startops1),0,-HLOOKUP(O$37,Reserve_Table,Trapped!$AC$30))</f>
        <v>5427.61159749414</v>
      </c>
      <c r="P74" s="61" t="n">
        <f aca="false">IF(P$37&lt;YEAR(Startops1),0,-HLOOKUP(P$37,Reserve_Table,Trapped!$AC$30))</f>
        <v>5050.28824629369</v>
      </c>
      <c r="Q74" s="61" t="n">
        <f aca="false">IF(Q$37&lt;YEAR(Startops1),0,-HLOOKUP(Q$37,Reserve_Table,Trapped!$AC$30))</f>
        <v>1793.90530618424</v>
      </c>
      <c r="R74" s="61" t="n">
        <f aca="false">IF(R$37&lt;YEAR(Startops1),0,-HLOOKUP(R$37,Reserve_Table,Trapped!$AC$30))</f>
        <v>-0</v>
      </c>
      <c r="S74" s="61" t="n">
        <f aca="false">IF(S$37&lt;YEAR(Startops1),0,-HLOOKUP(S$37,Reserve_Table,Trapped!$AC$30))</f>
        <v>-0</v>
      </c>
      <c r="T74" s="61" t="n">
        <f aca="false">IF(T$37&lt;YEAR(Startops1),0,-HLOOKUP(T$37,Reserve_Table,Trapped!$AC$30))</f>
        <v>-0</v>
      </c>
      <c r="U74" s="61" t="n">
        <f aca="false">IF(U$37&lt;YEAR(Startops1),0,-HLOOKUP(U$37,Reserve_Table,Trapped!$AC$30))</f>
        <v>-0</v>
      </c>
      <c r="V74" s="61" t="n">
        <f aca="false">IF(V$37&lt;YEAR(Startops1),0,-HLOOKUP(V$37,Reserve_Table,Trapped!$AC$30))</f>
        <v>-0</v>
      </c>
      <c r="W74" s="61" t="n">
        <f aca="false">IF(W$37&lt;YEAR(Startops1),0,-HLOOKUP(W$37,Reserve_Table,Trapped!$AC$30))</f>
        <v>-0</v>
      </c>
      <c r="X74" s="61" t="n">
        <f aca="false">IF(X$37&lt;YEAR(Startops1),0,-HLOOKUP(X$37,Reserve_Table,Trapped!$AC$30))</f>
        <v>-0</v>
      </c>
      <c r="Y74" s="61" t="n">
        <f aca="false">IF(Y$37&lt;YEAR(Startops1),0,-HLOOKUP(Y$37,Reserve_Table,Trapped!$AC$30))</f>
        <v>-0</v>
      </c>
      <c r="Z74" s="61" t="n">
        <f aca="false">IF(Z$37&lt;YEAR(Startops1),0,-HLOOKUP(Z$37,Reserve_Table,Trapped!$AC$30))</f>
        <v>-0</v>
      </c>
      <c r="AA74" s="61" t="n">
        <f aca="false">IF(AA$37&lt;YEAR(Startops1),0,-HLOOKUP(AA$37,Reserve_Table,Trapped!$AC$30))</f>
        <v>-0</v>
      </c>
      <c r="AB74" s="61" t="n">
        <f aca="false">IF(AB$37&lt;YEAR(Startops1),0,-HLOOKUP(AB$37,Reserve_Table,Trapped!$AC$30))</f>
        <v>16164.8165531078</v>
      </c>
      <c r="AC74" s="304" t="n">
        <f aca="false">SUM(G74:AB74)</f>
        <v>49986.6694074364</v>
      </c>
    </row>
    <row r="75" customFormat="false" ht="12.75" hidden="false" customHeight="false" outlineLevel="0" collapsed="false">
      <c r="A75" s="37"/>
      <c r="B75" s="39" t="s">
        <v>957</v>
      </c>
      <c r="D75" s="39"/>
      <c r="E75" s="39"/>
      <c r="F75" s="39"/>
      <c r="G75" s="61" t="n">
        <f aca="false">IF(G$37&lt;YEAR(Startops1),0,HLOOKUP(G$37,CF_Table,CF!$AB$37))</f>
        <v>0</v>
      </c>
      <c r="H75" s="61" t="n">
        <f aca="false">IF(H$37&lt;YEAR(Startops1),0,HLOOKUP(H$37,CF_Table,CF!$AB$37))</f>
        <v>0</v>
      </c>
      <c r="I75" s="61" t="n">
        <f aca="false">IF(I$37&lt;YEAR(Startops1),0,HLOOKUP(I$37,CF_Table,CF!$AB$37))</f>
        <v>0</v>
      </c>
      <c r="J75" s="61" t="n">
        <f aca="false">IF(J$37&lt;YEAR(Startops1),0,HLOOKUP(J$37,CF_Table,CF!$AB$37))</f>
        <v>0</v>
      </c>
      <c r="K75" s="61" t="n">
        <f aca="false">IF(K$37&lt;YEAR(Startops1),0,HLOOKUP(K$37,CF_Table,CF!$AB$37))</f>
        <v>20.8605339355598</v>
      </c>
      <c r="L75" s="61" t="n">
        <f aca="false">IF(L$37&lt;YEAR(Startops1),0,HLOOKUP(L$37,CF_Table,CF!$AB$37))</f>
        <v>20.8605339355598</v>
      </c>
      <c r="M75" s="61" t="n">
        <f aca="false">IF(M$37&lt;YEAR(Startops1),0,HLOOKUP(M$37,CF_Table,CF!$AB$37))</f>
        <v>-233.804707553963</v>
      </c>
      <c r="N75" s="61" t="n">
        <f aca="false">IF(N$37&lt;YEAR(Startops1),0,HLOOKUP(N$37,CF_Table,CF!$AB$37))</f>
        <v>-543.211676432129</v>
      </c>
      <c r="O75" s="61" t="n">
        <f aca="false">IF(O$37&lt;YEAR(Startops1),0,HLOOKUP(O$37,CF_Table,CF!$AB$37))</f>
        <v>-790.671706495594</v>
      </c>
      <c r="P75" s="61" t="n">
        <f aca="false">IF(P$37&lt;YEAR(Startops1),0,HLOOKUP(P$37,CF_Table,CF!$AB$37))</f>
        <v>-1056.64185128227</v>
      </c>
      <c r="Q75" s="61" t="n">
        <f aca="false">IF(Q$37&lt;YEAR(Startops1),0,HLOOKUP(Q$37,CF_Table,CF!$AB$37))</f>
        <v>-1328.02243115698</v>
      </c>
      <c r="R75" s="61" t="n">
        <f aca="false">IF(R$37&lt;YEAR(Startops1),0,HLOOKUP(R$37,CF_Table,CF!$AB$37))</f>
        <v>-1580.53684347166</v>
      </c>
      <c r="S75" s="61" t="n">
        <f aca="false">IF(S$37&lt;YEAR(Startops1),0,HLOOKUP(S$37,CF_Table,CF!$AB$37))</f>
        <v>-1625.13900530859</v>
      </c>
      <c r="T75" s="61" t="n">
        <f aca="false">IF(T$37&lt;YEAR(Startops1),0,HLOOKUP(T$37,CF_Table,CF!$AB$37))</f>
        <v>-1555.19701036703</v>
      </c>
      <c r="U75" s="61" t="n">
        <f aca="false">IF(U$37&lt;YEAR(Startops1),0,HLOOKUP(U$37,CF_Table,CF!$AB$37))</f>
        <v>-1503.27805194341</v>
      </c>
      <c r="V75" s="61" t="n">
        <f aca="false">IF(V$37&lt;YEAR(Startops1),0,HLOOKUP(V$37,CF_Table,CF!$AB$37))</f>
        <v>-1468.19246913219</v>
      </c>
      <c r="W75" s="61" t="n">
        <f aca="false">IF(W$37&lt;YEAR(Startops1),0,HLOOKUP(W$37,CF_Table,CF!$AB$37))</f>
        <v>-1269.98860381568</v>
      </c>
      <c r="X75" s="61" t="n">
        <f aca="false">IF(X$37&lt;YEAR(Startops1),0,HLOOKUP(X$37,CF_Table,CF!$AB$37))</f>
        <v>-1010.93883778636</v>
      </c>
      <c r="Y75" s="61" t="n">
        <f aca="false">IF(Y$37&lt;YEAR(Startops1),0,HLOOKUP(Y$37,CF_Table,CF!$AB$37))</f>
        <v>-620.683514781294</v>
      </c>
      <c r="Z75" s="61" t="n">
        <f aca="false">IF(Z$37&lt;YEAR(Startops1),0,HLOOKUP(Z$37,CF_Table,CF!$AB$37))</f>
        <v>31.3545300248106</v>
      </c>
      <c r="AA75" s="61" t="n">
        <f aca="false">IF(AA$37&lt;YEAR(Startops1),0,HLOOKUP(AA$37,CF_Table,CF!$AB$37))</f>
        <v>492.210816046157</v>
      </c>
      <c r="AB75" s="61" t="n">
        <f aca="false">IF(AB$37&lt;YEAR(Startops1),0,HLOOKUP(AB$37,CF_Table,CF!$AB$37))</f>
        <v>269.413609218463</v>
      </c>
      <c r="AC75" s="304" t="n">
        <f aca="false">SUM(G75:AB75)</f>
        <v>-13751.6066863666</v>
      </c>
    </row>
    <row r="76" customFormat="false" ht="12.75" hidden="false" customHeight="false" outlineLevel="0" collapsed="false">
      <c r="A76" s="37"/>
      <c r="B76" s="39" t="s">
        <v>958</v>
      </c>
      <c r="D76" s="39"/>
      <c r="E76" s="39"/>
      <c r="F76" s="39"/>
      <c r="G76" s="61" t="n">
        <f aca="false">G44</f>
        <v>0</v>
      </c>
      <c r="H76" s="61" t="n">
        <f aca="false">H44</f>
        <v>0</v>
      </c>
      <c r="I76" s="61" t="n">
        <f aca="false">I44</f>
        <v>0</v>
      </c>
      <c r="J76" s="61" t="n">
        <f aca="false">J44</f>
        <v>-3484.30006534666</v>
      </c>
      <c r="K76" s="61" t="n">
        <f aca="false">K44</f>
        <v>-8330.96444278677</v>
      </c>
      <c r="L76" s="61" t="n">
        <f aca="false">L44</f>
        <v>-8183.73683679701</v>
      </c>
      <c r="M76" s="61" t="n">
        <f aca="false">M44</f>
        <v>-7874.92829957685</v>
      </c>
      <c r="N76" s="61" t="n">
        <f aca="false">N44</f>
        <v>-7246.88619934103</v>
      </c>
      <c r="O76" s="61" t="n">
        <f aca="false">O44</f>
        <v>-6469.57071121993</v>
      </c>
      <c r="P76" s="61" t="n">
        <f aca="false">P44</f>
        <v>-5579.15484297768</v>
      </c>
      <c r="Q76" s="61" t="n">
        <f aca="false">Q44</f>
        <v>-4657.38027414731</v>
      </c>
      <c r="R76" s="61" t="n">
        <f aca="false">R44</f>
        <v>-4069.26227957454</v>
      </c>
      <c r="S76" s="61" t="n">
        <f aca="false">S44</f>
        <v>-3592.36314308763</v>
      </c>
      <c r="T76" s="61" t="n">
        <f aca="false">T44</f>
        <v>-3115.46400660072</v>
      </c>
      <c r="U76" s="61" t="n">
        <f aca="false">U44</f>
        <v>-2471.73658298501</v>
      </c>
      <c r="V76" s="61" t="n">
        <f aca="false">V44</f>
        <v>-1772.39973032637</v>
      </c>
      <c r="W76" s="61" t="n">
        <f aca="false">W44</f>
        <v>-1073.06287766773</v>
      </c>
      <c r="X76" s="61" t="n">
        <f aca="false">X44</f>
        <v>-326.687974126908</v>
      </c>
      <c r="Y76" s="61" t="n">
        <f aca="false">Y44</f>
        <v>-0</v>
      </c>
      <c r="Z76" s="61" t="n">
        <f aca="false">Z44</f>
        <v>-0</v>
      </c>
      <c r="AA76" s="61" t="n">
        <f aca="false">AA44</f>
        <v>-0</v>
      </c>
      <c r="AB76" s="61" t="n">
        <f aca="false">AB44</f>
        <v>-0</v>
      </c>
      <c r="AC76" s="304" t="n">
        <f aca="false">SUM(G76:AB76)</f>
        <v>-68247.8982665621</v>
      </c>
    </row>
    <row r="77" customFormat="false" ht="12.75" hidden="false" customHeight="false" outlineLevel="0" collapsed="false">
      <c r="A77" s="37"/>
      <c r="B77" s="39" t="s">
        <v>959</v>
      </c>
      <c r="D77" s="39"/>
      <c r="E77" s="39"/>
      <c r="F77" s="39"/>
      <c r="G77" s="61" t="n">
        <f aca="false">G45</f>
        <v>0</v>
      </c>
      <c r="H77" s="61" t="n">
        <f aca="false">H45</f>
        <v>0</v>
      </c>
      <c r="I77" s="61" t="n">
        <f aca="false">I45</f>
        <v>0</v>
      </c>
      <c r="J77" s="61" t="n">
        <f aca="false">J45</f>
        <v>-1164.18732247162</v>
      </c>
      <c r="K77" s="61" t="n">
        <f aca="false">K45</f>
        <v>-2763.74642383806</v>
      </c>
      <c r="L77" s="61" t="n">
        <f aca="false">L45</f>
        <v>-2634.52697362921</v>
      </c>
      <c r="M77" s="61" t="n">
        <f aca="false">M45</f>
        <v>-2487.96304271607</v>
      </c>
      <c r="N77" s="61" t="n">
        <f aca="false">N45</f>
        <v>-2321.72656817612</v>
      </c>
      <c r="O77" s="61" t="n">
        <f aca="false">O45</f>
        <v>-2133.17700284105</v>
      </c>
      <c r="P77" s="61" t="n">
        <f aca="false">P45</f>
        <v>-1919.31937209887</v>
      </c>
      <c r="Q77" s="61" t="n">
        <f aca="false">Q45</f>
        <v>-1676.75670087033</v>
      </c>
      <c r="R77" s="61" t="n">
        <f aca="false">R45</f>
        <v>-1401.63605509613</v>
      </c>
      <c r="S77" s="61" t="n">
        <f aca="false">S45</f>
        <v>-1089.5873406429</v>
      </c>
      <c r="T77" s="61" t="n">
        <f aca="false">T45</f>
        <v>-735.653887492177</v>
      </c>
      <c r="U77" s="61" t="n">
        <f aca="false">U45</f>
        <v>-334.2137165923</v>
      </c>
      <c r="V77" s="61" t="n">
        <f aca="false">V45</f>
        <v>-0</v>
      </c>
      <c r="W77" s="61" t="n">
        <f aca="false">W45</f>
        <v>-0</v>
      </c>
      <c r="X77" s="61" t="n">
        <f aca="false">X45</f>
        <v>-0</v>
      </c>
      <c r="Y77" s="61" t="n">
        <f aca="false">Y45</f>
        <v>-0</v>
      </c>
      <c r="Z77" s="61" t="n">
        <f aca="false">Z45</f>
        <v>-0</v>
      </c>
      <c r="AA77" s="61" t="n">
        <f aca="false">AA45</f>
        <v>-0</v>
      </c>
      <c r="AB77" s="61" t="n">
        <f aca="false">AB45</f>
        <v>-0</v>
      </c>
      <c r="AC77" s="304" t="n">
        <f aca="false">SUM(G77:AB77)</f>
        <v>-20662.4944064648</v>
      </c>
    </row>
    <row r="78" customFormat="false" ht="12.75" hidden="false" customHeight="false" outlineLevel="0" collapsed="false">
      <c r="A78" s="37"/>
      <c r="B78" s="39" t="s">
        <v>903</v>
      </c>
      <c r="D78" s="39"/>
      <c r="E78" s="39"/>
      <c r="F78" s="39"/>
      <c r="G78" s="61" t="n">
        <f aca="false">G46</f>
        <v>0</v>
      </c>
      <c r="H78" s="61" t="n">
        <f aca="false">H46</f>
        <v>0</v>
      </c>
      <c r="I78" s="61" t="n">
        <f aca="false">I46</f>
        <v>0</v>
      </c>
      <c r="J78" s="61" t="n">
        <f aca="false">J46</f>
        <v>-0</v>
      </c>
      <c r="K78" s="61" t="n">
        <f aca="false">K46</f>
        <v>-0</v>
      </c>
      <c r="L78" s="61" t="n">
        <f aca="false">L46</f>
        <v>-0</v>
      </c>
      <c r="M78" s="61" t="n">
        <f aca="false">M46</f>
        <v>-0</v>
      </c>
      <c r="N78" s="61" t="n">
        <f aca="false">N46</f>
        <v>-0</v>
      </c>
      <c r="O78" s="61" t="n">
        <f aca="false">O46</f>
        <v>-0</v>
      </c>
      <c r="P78" s="61" t="n">
        <f aca="false">P46</f>
        <v>-0</v>
      </c>
      <c r="Q78" s="61" t="n">
        <f aca="false">Q46</f>
        <v>-0</v>
      </c>
      <c r="R78" s="61" t="n">
        <f aca="false">R46</f>
        <v>-0</v>
      </c>
      <c r="S78" s="61" t="n">
        <f aca="false">S46</f>
        <v>-0</v>
      </c>
      <c r="T78" s="61" t="n">
        <f aca="false">T46</f>
        <v>-0</v>
      </c>
      <c r="U78" s="61" t="n">
        <f aca="false">U46</f>
        <v>-0</v>
      </c>
      <c r="V78" s="61" t="n">
        <f aca="false">V46</f>
        <v>-0</v>
      </c>
      <c r="W78" s="61" t="n">
        <f aca="false">W46</f>
        <v>-0</v>
      </c>
      <c r="X78" s="61" t="n">
        <f aca="false">X46</f>
        <v>-0</v>
      </c>
      <c r="Y78" s="61" t="n">
        <f aca="false">Y46</f>
        <v>-0</v>
      </c>
      <c r="Z78" s="61" t="n">
        <f aca="false">Z46</f>
        <v>-0</v>
      </c>
      <c r="AA78" s="61" t="n">
        <f aca="false">AA46</f>
        <v>-0</v>
      </c>
      <c r="AB78" s="61" t="n">
        <f aca="false">AB46</f>
        <v>-0</v>
      </c>
      <c r="AC78" s="304" t="n">
        <f aca="false">SUM(G78:AB78)</f>
        <v>0</v>
      </c>
    </row>
    <row r="79" customFormat="false" ht="12.75" hidden="false" customHeight="false" outlineLevel="0" collapsed="false">
      <c r="A79" s="37"/>
      <c r="B79" s="39" t="s">
        <v>245</v>
      </c>
      <c r="D79" s="39"/>
      <c r="E79" s="39"/>
      <c r="F79" s="39"/>
      <c r="G79" s="61" t="n">
        <f aca="false">G50</f>
        <v>0</v>
      </c>
      <c r="H79" s="61" t="n">
        <f aca="false">H50</f>
        <v>0</v>
      </c>
      <c r="I79" s="61" t="n">
        <f aca="false">I50</f>
        <v>0</v>
      </c>
      <c r="J79" s="61" t="n">
        <f aca="false">J50</f>
        <v>-0</v>
      </c>
      <c r="K79" s="61" t="n">
        <f aca="false">K50</f>
        <v>-0</v>
      </c>
      <c r="L79" s="61" t="n">
        <f aca="false">L50</f>
        <v>-0</v>
      </c>
      <c r="M79" s="61" t="n">
        <f aca="false">M50</f>
        <v>-0</v>
      </c>
      <c r="N79" s="61" t="n">
        <f aca="false">N50</f>
        <v>-0</v>
      </c>
      <c r="O79" s="61" t="n">
        <f aca="false">O50</f>
        <v>-0</v>
      </c>
      <c r="P79" s="61" t="n">
        <f aca="false">P50</f>
        <v>-0</v>
      </c>
      <c r="Q79" s="61" t="n">
        <f aca="false">Q50</f>
        <v>602.224988102776</v>
      </c>
      <c r="R79" s="61" t="n">
        <f aca="false">R50</f>
        <v>578.460807770804</v>
      </c>
      <c r="S79" s="61" t="n">
        <f aca="false">S50</f>
        <v>464.094572400236</v>
      </c>
      <c r="T79" s="61" t="n">
        <f aca="false">T50</f>
        <v>260.195765963851</v>
      </c>
      <c r="U79" s="61" t="n">
        <f aca="false">U50</f>
        <v>-33.4729706022816</v>
      </c>
      <c r="V79" s="61" t="n">
        <f aca="false">V50</f>
        <v>-442.646682586344</v>
      </c>
      <c r="W79" s="61" t="n">
        <f aca="false">W50</f>
        <v>-828.169368941894</v>
      </c>
      <c r="X79" s="61" t="n">
        <f aca="false">X50</f>
        <v>-1370.64012016712</v>
      </c>
      <c r="Y79" s="61" t="n">
        <f aca="false">Y50</f>
        <v>-1995.82371472347</v>
      </c>
      <c r="Z79" s="61" t="n">
        <f aca="false">Z50</f>
        <v>-2666.45144290828</v>
      </c>
      <c r="AA79" s="61" t="n">
        <f aca="false">AA50</f>
        <v>-2913.05128272317</v>
      </c>
      <c r="AB79" s="61" t="n">
        <f aca="false">AB50</f>
        <v>-971.017094241057</v>
      </c>
      <c r="AC79" s="304" t="n">
        <f aca="false">SUM(G79:AB79)</f>
        <v>-9316.29654265595</v>
      </c>
    </row>
    <row r="80" customFormat="false" ht="12.75" hidden="false" customHeight="false" outlineLevel="0" collapsed="false">
      <c r="A80" s="37"/>
      <c r="B80" s="39" t="s">
        <v>960</v>
      </c>
      <c r="D80" s="39"/>
      <c r="E80" s="39"/>
      <c r="F80" s="39"/>
      <c r="G80" s="61" t="n">
        <f aca="false">IF(G$37&lt;YEAR(Startops1),0,HLOOKUP(G$37,CF_Table,CF!$AB$39))</f>
        <v>0</v>
      </c>
      <c r="H80" s="61" t="n">
        <f aca="false">IF(H$37&lt;YEAR(Startops1),0,HLOOKUP(H$37,CF_Table,CF!$AB$39))</f>
        <v>0</v>
      </c>
      <c r="I80" s="61" t="n">
        <f aca="false">IF(I$37&lt;YEAR(Startops1),0,HLOOKUP(I$37,CF_Table,CF!$AB$39))</f>
        <v>0</v>
      </c>
      <c r="J80" s="61" t="n">
        <f aca="false">IF(J$37&lt;YEAR(Startops1),0,HLOOKUP(J$37,CF_Table,CF!$AB$39))</f>
        <v>-1628.79153027435</v>
      </c>
      <c r="K80" s="61" t="n">
        <f aca="false">IF(K$37&lt;YEAR(Startops1),0,HLOOKUP(K$37,CF_Table,CF!$AB$39))</f>
        <v>-3902.09967265843</v>
      </c>
      <c r="L80" s="61" t="n">
        <f aca="false">IF(L$37&lt;YEAR(Startops1),0,HLOOKUP(L$37,CF_Table,CF!$AB$39))</f>
        <v>-3818.03481938367</v>
      </c>
      <c r="M80" s="61" t="n">
        <f aca="false">IF(M$37&lt;YEAR(Startops1),0,HLOOKUP(M$37,CF_Table,CF!$AB$39))</f>
        <v>-5</v>
      </c>
      <c r="N80" s="61" t="n">
        <f aca="false">IF(N$37&lt;YEAR(Startops1),0,HLOOKUP(N$37,CF_Table,CF!$AB$39))</f>
        <v>-5</v>
      </c>
      <c r="O80" s="61" t="n">
        <f aca="false">IF(O$37&lt;YEAR(Startops1),0,HLOOKUP(O$37,CF_Table,CF!$AB$39))</f>
        <v>-5</v>
      </c>
      <c r="P80" s="61" t="n">
        <f aca="false">IF(P$37&lt;YEAR(Startops1),0,HLOOKUP(P$37,CF_Table,CF!$AB$39))</f>
        <v>-5</v>
      </c>
      <c r="Q80" s="61" t="n">
        <f aca="false">IF(Q$37&lt;YEAR(Startops1),0,HLOOKUP(Q$37,CF_Table,CF!$AB$39))</f>
        <v>-5</v>
      </c>
      <c r="R80" s="61" t="n">
        <f aca="false">IF(R$37&lt;YEAR(Startops1),0,HLOOKUP(R$37,CF_Table,CF!$AB$39))</f>
        <v>-5</v>
      </c>
      <c r="S80" s="61" t="n">
        <f aca="false">IF(S$37&lt;YEAR(Startops1),0,HLOOKUP(S$37,CF_Table,CF!$AB$39))</f>
        <v>-5</v>
      </c>
      <c r="T80" s="61" t="n">
        <f aca="false">IF(T$37&lt;YEAR(Startops1),0,HLOOKUP(T$37,CF_Table,CF!$AB$39))</f>
        <v>-5</v>
      </c>
      <c r="U80" s="61" t="n">
        <f aca="false">IF(U$37&lt;YEAR(Startops1),0,HLOOKUP(U$37,CF_Table,CF!$AB$39))</f>
        <v>-5</v>
      </c>
      <c r="V80" s="61" t="n">
        <f aca="false">IF(V$37&lt;YEAR(Startops1),0,HLOOKUP(V$37,CF_Table,CF!$AB$39))</f>
        <v>-5</v>
      </c>
      <c r="W80" s="61" t="n">
        <f aca="false">IF(W$37&lt;YEAR(Startops1),0,HLOOKUP(W$37,CF_Table,CF!$AB$39))</f>
        <v>-5</v>
      </c>
      <c r="X80" s="61" t="n">
        <f aca="false">IF(X$37&lt;YEAR(Startops1),0,HLOOKUP(X$37,CF_Table,CF!$AB$39))</f>
        <v>-5</v>
      </c>
      <c r="Y80" s="61" t="n">
        <f aca="false">IF(Y$37&lt;YEAR(Startops1),0,HLOOKUP(Y$37,CF_Table,CF!$AB$39))</f>
        <v>0</v>
      </c>
      <c r="Z80" s="61" t="n">
        <f aca="false">IF(Z$37&lt;YEAR(Startops1),0,HLOOKUP(Z$37,CF_Table,CF!$AB$39))</f>
        <v>0</v>
      </c>
      <c r="AA80" s="61" t="n">
        <f aca="false">IF(AA$37&lt;YEAR(Startops1),0,HLOOKUP(AA$37,CF_Table,CF!$AB$39))</f>
        <v>0</v>
      </c>
      <c r="AB80" s="61" t="n">
        <f aca="false">IF(AB$37&lt;YEAR(Startops1),0,HLOOKUP(AB$37,CF_Table,CF!$AB$39))</f>
        <v>0</v>
      </c>
      <c r="AC80" s="304" t="n">
        <f aca="false">SUM(G80:AB80)</f>
        <v>-9408.92602231645</v>
      </c>
    </row>
    <row r="81" customFormat="false" ht="12.75" hidden="false" customHeight="false" outlineLevel="0" collapsed="false">
      <c r="A81" s="37"/>
      <c r="B81" s="39" t="s">
        <v>961</v>
      </c>
      <c r="D81" s="39"/>
      <c r="E81" s="39"/>
      <c r="F81" s="39"/>
      <c r="G81" s="61" t="n">
        <f aca="false">IF(G$37&lt;YEAR(Startops1),0,HLOOKUP(G$37,CF_Table,CF!$AB$40))</f>
        <v>0</v>
      </c>
      <c r="H81" s="61" t="n">
        <f aca="false">IF(H$37&lt;YEAR(Startops1),0,HLOOKUP(H$37,CF_Table,CF!$AB$40))</f>
        <v>0</v>
      </c>
      <c r="I81" s="61" t="n">
        <f aca="false">IF(I$37&lt;YEAR(Startops1),0,HLOOKUP(I$37,CF_Table,CF!$AB$40))</f>
        <v>0</v>
      </c>
      <c r="J81" s="61" t="n">
        <f aca="false">IF(J$37&lt;YEAR(Startops1),0,HLOOKUP(J$37,CF_Table,CF!$AB$40))</f>
        <v>-43.5537508168332</v>
      </c>
      <c r="K81" s="61" t="n">
        <f aca="false">IF(K$37&lt;YEAR(Startops1),0,HLOOKUP(K$37,CF_Table,CF!$AB$40))</f>
        <v>-118.373475078629</v>
      </c>
      <c r="L81" s="61" t="n">
        <f aca="false">IF(L$37&lt;YEAR(Startops1),0,HLOOKUP(L$37,CF_Table,CF!$AB$40))</f>
        <v>-126.43312991701</v>
      </c>
      <c r="M81" s="61" t="n">
        <f aca="false">IF(M$37&lt;YEAR(Startops1),0,HLOOKUP(M$37,CF_Table,CF!$AB$40))</f>
        <v>-166.235534803832</v>
      </c>
      <c r="N81" s="61" t="n">
        <f aca="false">IF(N$37&lt;YEAR(Startops1),0,HLOOKUP(N$37,CF_Table,CF!$AB$40))</f>
        <v>-176.657724457064</v>
      </c>
      <c r="O81" s="61" t="n">
        <f aca="false">IF(O$37&lt;YEAR(Startops1),0,HLOOKUP(O$37,CF_Table,CF!$AB$40))</f>
        <v>-178.378960525224</v>
      </c>
      <c r="P81" s="61" t="n">
        <f aca="false">IF(P$37&lt;YEAR(Startops1),0,HLOOKUP(P$37,CF_Table,CF!$AB$40))</f>
        <v>-174.367649933404</v>
      </c>
      <c r="Q81" s="61" t="n">
        <f aca="false">IF(Q$37&lt;YEAR(Startops1),0,HLOOKUP(Q$37,CF_Table,CF!$AB$40))</f>
        <v>-137.597145896608</v>
      </c>
      <c r="R81" s="61" t="n">
        <f aca="false">IF(R$37&lt;YEAR(Startops1),0,HLOOKUP(R$37,CF_Table,CF!$AB$40))</f>
        <v>-104.997349038031</v>
      </c>
      <c r="S81" s="61" t="n">
        <f aca="false">IF(S$37&lt;YEAR(Startops1),0,HLOOKUP(S$37,CF_Table,CF!$AB$40))</f>
        <v>-99.0361098319449</v>
      </c>
      <c r="T81" s="61" t="n">
        <f aca="false">IF(T$37&lt;YEAR(Startops1),0,HLOOKUP(T$37,CF_Table,CF!$AB$40))</f>
        <v>-105.699031589067</v>
      </c>
      <c r="U81" s="61" t="n">
        <f aca="false">IF(U$37&lt;YEAR(Startops1),0,HLOOKUP(U$37,CF_Table,CF!$AB$40))</f>
        <v>-110.276599757079</v>
      </c>
      <c r="V81" s="61" t="n">
        <f aca="false">IF(V$37&lt;YEAR(Startops1),0,HLOOKUP(V$37,CF_Table,CF!$AB$40))</f>
        <v>-101.534889098846</v>
      </c>
      <c r="W81" s="61" t="n">
        <f aca="false">IF(W$37&lt;YEAR(Startops1),0,HLOOKUP(W$37,CF_Table,CF!$AB$40))</f>
        <v>-95.6407335450959</v>
      </c>
      <c r="X81" s="61" t="n">
        <f aca="false">IF(X$37&lt;YEAR(Startops1),0,HLOOKUP(X$37,CF_Table,CF!$AB$40))</f>
        <v>-63.5016788710533</v>
      </c>
      <c r="Y81" s="61" t="n">
        <f aca="false">IF(Y$37&lt;YEAR(Startops1),0,HLOOKUP(Y$37,CF_Table,CF!$AB$40))</f>
        <v>-0</v>
      </c>
      <c r="Z81" s="61" t="n">
        <f aca="false">IF(Z$37&lt;YEAR(Startops1),0,HLOOKUP(Z$37,CF_Table,CF!$AB$40))</f>
        <v>-0</v>
      </c>
      <c r="AA81" s="61" t="n">
        <f aca="false">IF(AA$37&lt;YEAR(Startops1),0,HLOOKUP(AA$37,CF_Table,CF!$AB$40))</f>
        <v>-0</v>
      </c>
      <c r="AB81" s="61" t="n">
        <f aca="false">IF(AB$37&lt;YEAR(Startops1),0,HLOOKUP(AB$37,CF_Table,CF!$AB$40))</f>
        <v>-0</v>
      </c>
      <c r="AC81" s="304" t="n">
        <f aca="false">SUM(G81:AB81)</f>
        <v>-1802.28376315972</v>
      </c>
    </row>
    <row r="82" customFormat="false" ht="12.75" hidden="false" customHeight="false" outlineLevel="0" collapsed="false">
      <c r="A82" s="37"/>
      <c r="B82" s="39" t="s">
        <v>890</v>
      </c>
      <c r="D82" s="39"/>
      <c r="E82" s="39"/>
      <c r="F82" s="39"/>
      <c r="G82" s="306" t="n">
        <f aca="false">IF(G$37&lt;YEAR(Startops1),0,-HLOOKUP(G$37,CF_Table,CF!$AB$78))</f>
        <v>0</v>
      </c>
      <c r="H82" s="306" t="n">
        <f aca="false">IF(H$37&lt;YEAR(Startops1),0,-HLOOKUP(H$37,CF_Table,CF!$AB$78))</f>
        <v>0</v>
      </c>
      <c r="I82" s="306" t="n">
        <f aca="false">IF(I$37&lt;YEAR(Startops1),0,-HLOOKUP(I$37,CF_Table,CF!$AB$78))</f>
        <v>0</v>
      </c>
      <c r="J82" s="306" t="n">
        <f aca="false">IF(J$37&lt;YEAR(Startops1),0,-HLOOKUP(J$37,CF_Table,CF!$AB$78))</f>
        <v>-0</v>
      </c>
      <c r="K82" s="306" t="n">
        <f aca="false">IF(K$37&lt;YEAR(Startops1),0,-HLOOKUP(K$37,CF_Table,CF!$AB$78))</f>
        <v>-0</v>
      </c>
      <c r="L82" s="306" t="n">
        <f aca="false">IF(L$37&lt;YEAR(Startops1),0,-HLOOKUP(L$37,CF_Table,CF!$AB$78))</f>
        <v>-0</v>
      </c>
      <c r="M82" s="306" t="n">
        <f aca="false">IF(M$37&lt;YEAR(Startops1),0,-HLOOKUP(M$37,CF_Table,CF!$AB$78))</f>
        <v>-0</v>
      </c>
      <c r="N82" s="306" t="n">
        <f aca="false">IF(N$37&lt;YEAR(Startops1),0,-HLOOKUP(N$37,CF_Table,CF!$AB$78))</f>
        <v>-0</v>
      </c>
      <c r="O82" s="306" t="n">
        <f aca="false">IF(O$37&lt;YEAR(Startops1),0,-HLOOKUP(O$37,CF_Table,CF!$AB$78))</f>
        <v>-0</v>
      </c>
      <c r="P82" s="306" t="n">
        <f aca="false">IF(P$37&lt;YEAR(Startops1),0,-HLOOKUP(P$37,CF_Table,CF!$AB$78))</f>
        <v>-0</v>
      </c>
      <c r="Q82" s="306" t="n">
        <f aca="false">IF(Q$37&lt;YEAR(Startops1),0,-HLOOKUP(Q$37,CF_Table,CF!$AB$78))</f>
        <v>-0</v>
      </c>
      <c r="R82" s="306" t="n">
        <f aca="false">IF(R$37&lt;YEAR(Startops1),0,-HLOOKUP(R$37,CF_Table,CF!$AB$78))</f>
        <v>-0</v>
      </c>
      <c r="S82" s="306" t="n">
        <f aca="false">IF(S$37&lt;YEAR(Startops1),0,-HLOOKUP(S$37,CF_Table,CF!$AB$78))</f>
        <v>-0</v>
      </c>
      <c r="T82" s="306" t="n">
        <f aca="false">IF(T$37&lt;YEAR(Startops1),0,-HLOOKUP(T$37,CF_Table,CF!$AB$78))</f>
        <v>-0</v>
      </c>
      <c r="U82" s="306" t="n">
        <f aca="false">IF(U$37&lt;YEAR(Startops1),0,-HLOOKUP(U$37,CF_Table,CF!$AB$78))</f>
        <v>-0</v>
      </c>
      <c r="V82" s="306" t="n">
        <f aca="false">IF(V$37&lt;YEAR(Startops1),0,-HLOOKUP(V$37,CF_Table,CF!$AB$78))</f>
        <v>-0</v>
      </c>
      <c r="W82" s="306" t="n">
        <f aca="false">IF(W$37&lt;YEAR(Startops1),0,-HLOOKUP(W$37,CF_Table,CF!$AB$78))</f>
        <v>-0</v>
      </c>
      <c r="X82" s="306" t="n">
        <f aca="false">IF(X$37&lt;YEAR(Startops1),0,-HLOOKUP(X$37,CF_Table,CF!$AB$78))</f>
        <v>-0</v>
      </c>
      <c r="Y82" s="306" t="n">
        <f aca="false">IF(Y$37&lt;YEAR(Startops1),0,-HLOOKUP(Y$37,CF_Table,CF!$AB$78))</f>
        <v>-0</v>
      </c>
      <c r="Z82" s="306" t="n">
        <f aca="false">IF(Z$37&lt;YEAR(Startops1),0,-HLOOKUP(Z$37,CF_Table,CF!$AB$78))</f>
        <v>-4150.35970157787</v>
      </c>
      <c r="AA82" s="306" t="n">
        <f aca="false">IF(AA$37&lt;YEAR(Startops1),0,-HLOOKUP(AA$37,CF_Table,CF!$AB$78))</f>
        <v>-7581.36886552416</v>
      </c>
      <c r="AB82" s="306" t="n">
        <f aca="false">IF(AB$37&lt;YEAR(Startops1),0,-HLOOKUP(AB$37,CF_Table,CF!$AB$78))</f>
        <v>-20507.0035433508</v>
      </c>
      <c r="AC82" s="307" t="n">
        <f aca="false">SUM(G82:AB82)</f>
        <v>-32238.7321104528</v>
      </c>
    </row>
    <row r="83" customFormat="false" ht="12.75" hidden="false" customHeight="false" outlineLevel="0" collapsed="false">
      <c r="A83" s="37"/>
      <c r="C83" s="39" t="s">
        <v>962</v>
      </c>
      <c r="D83" s="39"/>
      <c r="E83" s="39"/>
      <c r="F83" s="39"/>
      <c r="G83" s="61" t="n">
        <f aca="false">SUM(G64:G82)</f>
        <v>0</v>
      </c>
      <c r="H83" s="61" t="n">
        <f aca="false">SUM(H64:H82)</f>
        <v>0</v>
      </c>
      <c r="I83" s="61" t="n">
        <f aca="false">SUM(I64:I82)</f>
        <v>0</v>
      </c>
      <c r="J83" s="61" t="n">
        <f aca="false">SUM(J64:J82)</f>
        <v>-6738.04334762065</v>
      </c>
      <c r="K83" s="61" t="n">
        <f aca="false">SUM(K64:K82)</f>
        <v>-12102.6399825048</v>
      </c>
      <c r="L83" s="61" t="n">
        <f aca="false">SUM(L64:L82)</f>
        <v>-11576.5726233661</v>
      </c>
      <c r="M83" s="61" t="n">
        <f aca="false">SUM(M64:M82)</f>
        <v>-12481.1366175985</v>
      </c>
      <c r="N83" s="61" t="n">
        <f aca="false">SUM(N64:N82)</f>
        <v>-13264.5386539243</v>
      </c>
      <c r="O83" s="61" t="n">
        <f aca="false">SUM(O64:O82)</f>
        <v>-13543.2101037481</v>
      </c>
      <c r="P83" s="61" t="n">
        <f aca="false">SUM(P64:P82)</f>
        <v>-13861.5874417978</v>
      </c>
      <c r="Q83" s="61" t="n">
        <f aca="false">SUM(Q64:Q82)</f>
        <v>-13808.7151466987</v>
      </c>
      <c r="R83" s="61" t="n">
        <f aca="false">SUM(R64:R82)</f>
        <v>-14140.1775694307</v>
      </c>
      <c r="S83" s="61" t="n">
        <f aca="false">SUM(S64:S82)</f>
        <v>-14313.2634203305</v>
      </c>
      <c r="T83" s="61" t="n">
        <f aca="false">SUM(T64:T82)</f>
        <v>-14626.4561637936</v>
      </c>
      <c r="U83" s="61" t="n">
        <f aca="false">SUM(U64:U82)</f>
        <v>-14902.3214512969</v>
      </c>
      <c r="V83" s="61" t="n">
        <f aca="false">SUM(V64:V82)</f>
        <v>-14104.2424750553</v>
      </c>
      <c r="W83" s="61" t="n">
        <f aca="false">SUM(W64:W82)</f>
        <v>-15031.0527104967</v>
      </c>
      <c r="X83" s="61" t="n">
        <f aca="false">SUM(X64:X82)</f>
        <v>-15335.3214066101</v>
      </c>
      <c r="Y83" s="61" t="n">
        <f aca="false">SUM(Y64:Y82)</f>
        <v>-15657.2681256269</v>
      </c>
      <c r="Z83" s="61" t="n">
        <f aca="false">SUM(Z64:Z82)</f>
        <v>-16002.5823348883</v>
      </c>
      <c r="AA83" s="61" t="n">
        <f aca="false">SUM(AA64:AA82)</f>
        <v>-16322.8095643858</v>
      </c>
      <c r="AB83" s="61" t="n">
        <f aca="false">SUM(AB64:AB82)</f>
        <v>-5043.7904752656</v>
      </c>
      <c r="AC83" s="304" t="n">
        <f aca="false">SUM(G83:AB83)</f>
        <v>-252855.729614439</v>
      </c>
    </row>
    <row r="84" customFormat="false" ht="12.75" hidden="false" customHeight="false" outlineLevel="0" collapsed="false">
      <c r="A84" s="37"/>
      <c r="D84" s="39"/>
      <c r="E84" s="39"/>
      <c r="F84" s="39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304" t="s">
        <v>452</v>
      </c>
    </row>
    <row r="85" customFormat="false" ht="12.75" hidden="false" customHeight="false" outlineLevel="0" collapsed="false">
      <c r="A85" s="37" t="s">
        <v>963</v>
      </c>
      <c r="D85" s="39"/>
      <c r="E85" s="39"/>
      <c r="F85" s="39"/>
      <c r="G85" s="61" t="n">
        <f aca="false">G61+G83</f>
        <v>0</v>
      </c>
      <c r="H85" s="61" t="n">
        <f aca="false">H61+H83</f>
        <v>0</v>
      </c>
      <c r="I85" s="61" t="n">
        <f aca="false">I61+I83</f>
        <v>0</v>
      </c>
      <c r="J85" s="61" t="n">
        <f aca="false">J61+J83</f>
        <v>0</v>
      </c>
      <c r="K85" s="61" t="n">
        <f aca="false">K61+K83</f>
        <v>0</v>
      </c>
      <c r="L85" s="61" t="n">
        <f aca="false">L61+L83</f>
        <v>0</v>
      </c>
      <c r="M85" s="61" t="n">
        <f aca="false">M61+M83</f>
        <v>0</v>
      </c>
      <c r="N85" s="61" t="n">
        <f aca="false">N61+N83</f>
        <v>0</v>
      </c>
      <c r="O85" s="61" t="n">
        <f aca="false">O61+O83</f>
        <v>0</v>
      </c>
      <c r="P85" s="61" t="n">
        <f aca="false">P61+P83</f>
        <v>0</v>
      </c>
      <c r="Q85" s="61" t="n">
        <f aca="false">Q61+Q83</f>
        <v>0</v>
      </c>
      <c r="R85" s="61" t="n">
        <f aca="false">R61+R83</f>
        <v>0</v>
      </c>
      <c r="S85" s="61" t="n">
        <f aca="false">S61+S83</f>
        <v>0</v>
      </c>
      <c r="T85" s="61" t="n">
        <f aca="false">T61+T83</f>
        <v>0</v>
      </c>
      <c r="U85" s="61" t="n">
        <f aca="false">U61+U83</f>
        <v>0</v>
      </c>
      <c r="V85" s="61" t="n">
        <f aca="false">V61+V83</f>
        <v>0</v>
      </c>
      <c r="W85" s="61" t="n">
        <f aca="false">W61+W83</f>
        <v>0</v>
      </c>
      <c r="X85" s="61" t="n">
        <f aca="false">X61+X83</f>
        <v>0</v>
      </c>
      <c r="Y85" s="61" t="n">
        <f aca="false">Y61+Y83</f>
        <v>0</v>
      </c>
      <c r="Z85" s="61" t="n">
        <f aca="false">Z61+Z83</f>
        <v>0</v>
      </c>
      <c r="AA85" s="61" t="n">
        <f aca="false">AA61+AA83</f>
        <v>0</v>
      </c>
      <c r="AB85" s="61" t="n">
        <f aca="false">AB61+AB83</f>
        <v>0</v>
      </c>
      <c r="AC85" s="304" t="n">
        <f aca="false">SUM(G85:AB85)</f>
        <v>0</v>
      </c>
    </row>
    <row r="86" customFormat="false" ht="12.75" hidden="false" customHeight="false" outlineLevel="0" collapsed="false">
      <c r="A86" s="37"/>
      <c r="D86" s="39"/>
      <c r="E86" s="39"/>
      <c r="F86" s="39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304" t="s">
        <v>452</v>
      </c>
    </row>
    <row r="87" customFormat="false" ht="12.75" hidden="false" customHeight="false" outlineLevel="0" collapsed="false">
      <c r="A87" s="37" t="s">
        <v>964</v>
      </c>
      <c r="D87" s="39"/>
      <c r="E87" s="39"/>
      <c r="F87" s="39"/>
      <c r="G87" s="98" t="n">
        <v>0</v>
      </c>
      <c r="H87" s="61" t="n">
        <f aca="false">G89</f>
        <v>0</v>
      </c>
      <c r="I87" s="61" t="n">
        <f aca="false">H89</f>
        <v>0</v>
      </c>
      <c r="J87" s="61" t="n">
        <f aca="false">I89</f>
        <v>0</v>
      </c>
      <c r="K87" s="61" t="n">
        <f aca="false">J89</f>
        <v>0</v>
      </c>
      <c r="L87" s="61" t="n">
        <f aca="false">K89</f>
        <v>0</v>
      </c>
      <c r="M87" s="61" t="n">
        <f aca="false">L89</f>
        <v>0</v>
      </c>
      <c r="N87" s="61" t="n">
        <f aca="false">M89</f>
        <v>0</v>
      </c>
      <c r="O87" s="61" t="n">
        <f aca="false">N89</f>
        <v>0</v>
      </c>
      <c r="P87" s="61" t="n">
        <f aca="false">O89</f>
        <v>0</v>
      </c>
      <c r="Q87" s="61" t="n">
        <f aca="false">P89</f>
        <v>0</v>
      </c>
      <c r="R87" s="61" t="n">
        <f aca="false">Q89</f>
        <v>0</v>
      </c>
      <c r="S87" s="61" t="n">
        <f aca="false">R89</f>
        <v>0</v>
      </c>
      <c r="T87" s="61" t="n">
        <f aca="false">S89</f>
        <v>0</v>
      </c>
      <c r="U87" s="61" t="n">
        <f aca="false">T89</f>
        <v>0</v>
      </c>
      <c r="V87" s="61" t="n">
        <f aca="false">U89</f>
        <v>0</v>
      </c>
      <c r="W87" s="61" t="n">
        <f aca="false">V89</f>
        <v>0</v>
      </c>
      <c r="X87" s="61" t="n">
        <f aca="false">W89</f>
        <v>0</v>
      </c>
      <c r="Y87" s="61" t="n">
        <f aca="false">X89</f>
        <v>0</v>
      </c>
      <c r="Z87" s="61" t="n">
        <f aca="false">Y89</f>
        <v>0</v>
      </c>
      <c r="AA87" s="61" t="n">
        <f aca="false">Z89</f>
        <v>0</v>
      </c>
      <c r="AB87" s="61" t="n">
        <f aca="false">AA89</f>
        <v>0</v>
      </c>
      <c r="AC87" s="304"/>
    </row>
    <row r="88" customFormat="false" ht="12.75" hidden="false" customHeight="false" outlineLevel="0" collapsed="false">
      <c r="A88" s="37"/>
      <c r="D88" s="39"/>
      <c r="E88" s="39"/>
      <c r="F88" s="39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304" t="s">
        <v>452</v>
      </c>
    </row>
    <row r="89" customFormat="false" ht="13.5" hidden="false" customHeight="false" outlineLevel="0" collapsed="false">
      <c r="A89" s="49" t="s">
        <v>965</v>
      </c>
      <c r="B89" s="22"/>
      <c r="C89" s="22"/>
      <c r="D89" s="22"/>
      <c r="E89" s="22"/>
      <c r="F89" s="22"/>
      <c r="G89" s="877" t="n">
        <f aca="false">G85+G87</f>
        <v>0</v>
      </c>
      <c r="H89" s="877" t="n">
        <f aca="false">H85+H87</f>
        <v>0</v>
      </c>
      <c r="I89" s="877" t="n">
        <f aca="false">I85+I87</f>
        <v>0</v>
      </c>
      <c r="J89" s="877" t="n">
        <f aca="false">J85+J87</f>
        <v>0</v>
      </c>
      <c r="K89" s="877" t="n">
        <f aca="false">K85+K87</f>
        <v>0</v>
      </c>
      <c r="L89" s="877" t="n">
        <f aca="false">L85+L87</f>
        <v>0</v>
      </c>
      <c r="M89" s="877" t="n">
        <f aca="false">M85+M87</f>
        <v>0</v>
      </c>
      <c r="N89" s="877" t="n">
        <f aca="false">N85+N87</f>
        <v>0</v>
      </c>
      <c r="O89" s="877" t="n">
        <f aca="false">O85+O87</f>
        <v>0</v>
      </c>
      <c r="P89" s="877" t="n">
        <f aca="false">P85+P87</f>
        <v>0</v>
      </c>
      <c r="Q89" s="877" t="n">
        <f aca="false">Q85+Q87</f>
        <v>0</v>
      </c>
      <c r="R89" s="877" t="n">
        <f aca="false">R85+R87</f>
        <v>0</v>
      </c>
      <c r="S89" s="877" t="n">
        <f aca="false">S85+S87</f>
        <v>0</v>
      </c>
      <c r="T89" s="877" t="n">
        <f aca="false">T85+T87</f>
        <v>0</v>
      </c>
      <c r="U89" s="877" t="n">
        <f aca="false">U85+U87</f>
        <v>0</v>
      </c>
      <c r="V89" s="877" t="n">
        <f aca="false">V85+V87</f>
        <v>0</v>
      </c>
      <c r="W89" s="877" t="n">
        <f aca="false">W85+W87</f>
        <v>0</v>
      </c>
      <c r="X89" s="877" t="n">
        <f aca="false">X85+X87</f>
        <v>0</v>
      </c>
      <c r="Y89" s="877" t="n">
        <f aca="false">Y85+Y87</f>
        <v>0</v>
      </c>
      <c r="Z89" s="877" t="n">
        <f aca="false">Z85+Z87</f>
        <v>0</v>
      </c>
      <c r="AA89" s="877" t="n">
        <f aca="false">AA85+AA87</f>
        <v>0</v>
      </c>
      <c r="AB89" s="877" t="n">
        <f aca="false">AB85+AB87</f>
        <v>0</v>
      </c>
      <c r="AC89" s="878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8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true" hidden="false" outlineLevel="0" max="10" min="10" style="1" width="20.7"/>
    <col collapsed="false" customWidth="true" hidden="false" outlineLevel="0" max="11" min="11" style="1" width="32.28"/>
    <col collapsed="false" customWidth="false" hidden="false" outlineLevel="0" max="257" min="12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16"/>
      <c r="D1" s="351"/>
      <c r="E1" s="351"/>
      <c r="F1" s="469"/>
      <c r="G1" s="15"/>
      <c r="H1" s="469"/>
      <c r="I1" s="469"/>
      <c r="J1" s="469"/>
      <c r="K1" s="470"/>
      <c r="L1" s="469"/>
      <c r="M1" s="469"/>
      <c r="N1" s="471"/>
      <c r="O1" s="469"/>
      <c r="P1" s="469"/>
      <c r="Q1" s="469"/>
      <c r="R1" s="469"/>
      <c r="S1" s="469"/>
      <c r="T1" s="469"/>
      <c r="U1" s="469"/>
      <c r="V1" s="355"/>
      <c r="W1" s="469"/>
      <c r="X1" s="469"/>
      <c r="Y1" s="469"/>
      <c r="Z1" s="469"/>
      <c r="AA1" s="469"/>
      <c r="AB1" s="116"/>
      <c r="AC1" s="116"/>
      <c r="AD1" s="108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16"/>
      <c r="D2" s="351"/>
      <c r="E2" s="351"/>
      <c r="F2" s="469"/>
      <c r="G2" s="15"/>
      <c r="H2" s="469"/>
      <c r="I2" s="469"/>
      <c r="J2" s="469"/>
      <c r="K2" s="470"/>
      <c r="L2" s="469"/>
      <c r="M2" s="469"/>
      <c r="N2" s="471"/>
      <c r="O2" s="469"/>
      <c r="P2" s="469"/>
      <c r="Q2" s="469"/>
      <c r="R2" s="469"/>
      <c r="S2" s="469"/>
      <c r="T2" s="469"/>
      <c r="U2" s="469"/>
      <c r="V2" s="355"/>
      <c r="W2" s="469"/>
      <c r="X2" s="469"/>
      <c r="Y2" s="469"/>
      <c r="Z2" s="469"/>
      <c r="AA2" s="469"/>
      <c r="AB2" s="116"/>
      <c r="AC2" s="116"/>
      <c r="AD2" s="108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356"/>
      <c r="F3" s="469"/>
      <c r="G3" s="15"/>
      <c r="H3" s="469"/>
      <c r="I3" s="472"/>
      <c r="J3" s="469"/>
      <c r="K3" s="470"/>
      <c r="L3" s="469"/>
      <c r="M3" s="469"/>
      <c r="N3" s="471"/>
      <c r="O3" s="469"/>
      <c r="P3" s="469"/>
      <c r="Q3" s="469"/>
      <c r="R3" s="469"/>
      <c r="S3" s="469"/>
      <c r="T3" s="469"/>
      <c r="U3" s="469"/>
      <c r="V3" s="469"/>
      <c r="W3" s="473"/>
      <c r="X3" s="473"/>
      <c r="Y3" s="469"/>
      <c r="Z3" s="469"/>
      <c r="AA3" s="469"/>
      <c r="AB3" s="116"/>
      <c r="AC3" s="116"/>
      <c r="AD3" s="108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966</v>
      </c>
      <c r="B4" s="885"/>
      <c r="C4" s="116"/>
      <c r="D4" s="885"/>
      <c r="E4" s="885"/>
      <c r="F4" s="469"/>
      <c r="G4" s="15"/>
      <c r="H4" s="469"/>
      <c r="I4" s="472"/>
      <c r="J4" s="469"/>
      <c r="K4" s="470"/>
      <c r="L4" s="469"/>
      <c r="M4" s="469"/>
      <c r="N4" s="471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469"/>
      <c r="AB4" s="116"/>
      <c r="AC4" s="116"/>
      <c r="AD4" s="108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980"/>
      <c r="B6" s="981"/>
      <c r="C6" s="981"/>
      <c r="D6" s="982"/>
      <c r="E6" s="983"/>
      <c r="F6" s="821"/>
      <c r="G6" s="821"/>
      <c r="H6" s="821" t="s">
        <v>967</v>
      </c>
      <c r="I6" s="984"/>
    </row>
    <row r="7" customFormat="false" ht="12.75" hidden="false" customHeight="false" outlineLevel="0" collapsed="false">
      <c r="A7" s="985"/>
      <c r="B7" s="836"/>
      <c r="C7" s="836"/>
      <c r="D7" s="43"/>
      <c r="E7" s="986"/>
      <c r="F7" s="921"/>
      <c r="G7" s="921" t="s">
        <v>968</v>
      </c>
      <c r="H7" s="921" t="s">
        <v>969</v>
      </c>
      <c r="I7" s="987"/>
    </row>
    <row r="8" customFormat="false" ht="13.5" hidden="false" customHeight="false" outlineLevel="0" collapsed="false">
      <c r="A8" s="988" t="s">
        <v>970</v>
      </c>
      <c r="B8" s="989" t="s">
        <v>971</v>
      </c>
      <c r="C8" s="990" t="s">
        <v>972</v>
      </c>
      <c r="D8" s="990"/>
      <c r="E8" s="990"/>
      <c r="F8" s="990" t="s">
        <v>973</v>
      </c>
      <c r="G8" s="990" t="s">
        <v>974</v>
      </c>
      <c r="H8" s="990" t="s">
        <v>975</v>
      </c>
      <c r="I8" s="991" t="s">
        <v>976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477" t="str">
        <f aca="false">Assm!A6</f>
        <v>Pipeline Data</v>
      </c>
      <c r="B10" s="992" t="str">
        <f aca="false">Assm!A7</f>
        <v>Pipeline Length - Brazil</v>
      </c>
      <c r="C10" s="203" t="n">
        <f aca="false">Assm!E7</f>
        <v>257</v>
      </c>
      <c r="D10" s="26" t="str">
        <f aca="false">Assm!F7</f>
        <v>Kilometers</v>
      </c>
      <c r="E10" s="26"/>
      <c r="F10" s="993" t="s">
        <v>977</v>
      </c>
      <c r="G10" s="994" t="n">
        <v>36373</v>
      </c>
      <c r="H10" s="993" t="s">
        <v>978</v>
      </c>
      <c r="I10" s="995" t="s">
        <v>979</v>
      </c>
    </row>
    <row r="11" customFormat="false" ht="13.5" hidden="false" customHeight="false" outlineLevel="0" collapsed="false">
      <c r="A11" s="175"/>
      <c r="B11" s="996" t="str">
        <f aca="false">Assm!A8</f>
        <v>Size of Pipe</v>
      </c>
      <c r="C11" s="199" t="n">
        <f aca="false">Assm!E8</f>
        <v>18</v>
      </c>
      <c r="D11" s="22" t="str">
        <f aca="false">Assm!F8</f>
        <v>Inches</v>
      </c>
      <c r="E11" s="22"/>
      <c r="F11" s="997" t="s">
        <v>977</v>
      </c>
      <c r="G11" s="998" t="n">
        <v>36373</v>
      </c>
      <c r="H11" s="997" t="s">
        <v>978</v>
      </c>
      <c r="I11" s="999" t="s">
        <v>980</v>
      </c>
    </row>
    <row r="12" customFormat="false" ht="13.5" hidden="false" customHeight="false" outlineLevel="0" collapsed="false">
      <c r="A12" s="39"/>
      <c r="B12" s="39"/>
      <c r="C12" s="39"/>
      <c r="D12" s="39"/>
      <c r="F12" s="47"/>
      <c r="G12" s="1000"/>
      <c r="H12" s="47"/>
      <c r="I12" s="39"/>
    </row>
    <row r="13" customFormat="false" ht="12.75" hidden="false" customHeight="false" outlineLevel="0" collapsed="false">
      <c r="A13" s="1001" t="str">
        <f aca="false">Assm!A10</f>
        <v>Project Operations</v>
      </c>
      <c r="B13" s="822" t="str">
        <f aca="false">Assm!A11</f>
        <v>Start Of Construction</v>
      </c>
      <c r="C13" s="1002" t="n">
        <f aca="false">Assm!F11</f>
        <v>35886</v>
      </c>
      <c r="D13" s="26"/>
      <c r="E13" s="820"/>
      <c r="F13" s="993" t="s">
        <v>981</v>
      </c>
      <c r="G13" s="994" t="n">
        <v>35664</v>
      </c>
      <c r="H13" s="993" t="s">
        <v>982</v>
      </c>
      <c r="I13" s="995" t="s">
        <v>983</v>
      </c>
    </row>
    <row r="14" customFormat="false" ht="12.75" hidden="false" customHeight="false" outlineLevel="0" collapsed="false">
      <c r="A14" s="1003"/>
      <c r="B14" s="719" t="str">
        <f aca="false">Assm!A12</f>
        <v>Pipeline Notice To Proceed (NTP)</v>
      </c>
      <c r="C14" s="1004" t="n">
        <f aca="false">Assm!F12</f>
        <v>36342</v>
      </c>
      <c r="D14" s="39"/>
      <c r="E14" s="726"/>
      <c r="F14" s="1005" t="s">
        <v>984</v>
      </c>
      <c r="G14" s="1006" t="n">
        <v>36291</v>
      </c>
      <c r="H14" s="1005" t="s">
        <v>985</v>
      </c>
      <c r="I14" s="1007" t="s">
        <v>986</v>
      </c>
    </row>
    <row r="15" customFormat="false" ht="12.75" hidden="false" customHeight="false" outlineLevel="0" collapsed="false">
      <c r="A15" s="1003"/>
      <c r="B15" s="719" t="str">
        <f aca="false">Assm!A13</f>
        <v>Pipeline Ready For Service (RFS)</v>
      </c>
      <c r="C15" s="1004" t="n">
        <f aca="false">Assm!F13</f>
        <v>36892</v>
      </c>
      <c r="D15" s="39"/>
      <c r="E15" s="726"/>
      <c r="F15" s="1005" t="s">
        <v>984</v>
      </c>
      <c r="G15" s="1006" t="n">
        <v>36291</v>
      </c>
      <c r="H15" s="1005" t="s">
        <v>985</v>
      </c>
      <c r="I15" s="1007" t="s">
        <v>986</v>
      </c>
    </row>
    <row r="16" customFormat="false" ht="12.75" hidden="false" customHeight="false" outlineLevel="0" collapsed="false">
      <c r="A16" s="1003"/>
      <c r="B16" s="719" t="str">
        <f aca="false">Assm!A14</f>
        <v>Months Of Construction</v>
      </c>
      <c r="C16" s="1004" t="n">
        <f aca="false">Assm!F14</f>
        <v>35</v>
      </c>
      <c r="D16" s="39"/>
      <c r="E16" s="726"/>
      <c r="F16" s="1005" t="s">
        <v>987</v>
      </c>
      <c r="G16" s="1006"/>
      <c r="H16" s="1005"/>
      <c r="I16" s="1007"/>
    </row>
    <row r="17" customFormat="false" ht="12.75" hidden="false" customHeight="false" outlineLevel="0" collapsed="false">
      <c r="A17" s="1003"/>
      <c r="B17" s="719" t="str">
        <f aca="false">Assm!A15</f>
        <v>Start Date (Phase II - Power Plant)</v>
      </c>
      <c r="C17" s="1004" t="n">
        <f aca="false">Assm!F15</f>
        <v>36951</v>
      </c>
      <c r="D17" s="39"/>
      <c r="E17" s="726"/>
      <c r="F17" s="1005" t="s">
        <v>984</v>
      </c>
      <c r="G17" s="1006" t="n">
        <v>36291</v>
      </c>
      <c r="H17" s="1005" t="s">
        <v>985</v>
      </c>
      <c r="I17" s="1007" t="s">
        <v>986</v>
      </c>
    </row>
    <row r="18" customFormat="false" ht="12.75" hidden="false" customHeight="false" outlineLevel="0" collapsed="false">
      <c r="A18" s="1003"/>
      <c r="B18" s="719" t="str">
        <f aca="false">Assm!A16</f>
        <v>Start Date (Phase III - Power Plant)</v>
      </c>
      <c r="C18" s="1004" t="n">
        <f aca="false">Assm!F16</f>
        <v>37104</v>
      </c>
      <c r="D18" s="39"/>
      <c r="E18" s="726"/>
      <c r="F18" s="1005" t="s">
        <v>984</v>
      </c>
      <c r="G18" s="1006" t="n">
        <v>36403</v>
      </c>
      <c r="H18" s="1005" t="s">
        <v>985</v>
      </c>
      <c r="I18" s="1007" t="s">
        <v>986</v>
      </c>
    </row>
    <row r="19" customFormat="false" ht="12.75" hidden="false" customHeight="false" outlineLevel="0" collapsed="false">
      <c r="A19" s="1003"/>
      <c r="B19" s="719" t="str">
        <f aca="false">Assm!A17</f>
        <v>End Of Operations - Cuiaba I</v>
      </c>
      <c r="C19" s="1004" t="n">
        <f aca="false">Assm!F17</f>
        <v>43556</v>
      </c>
      <c r="D19" s="39"/>
      <c r="E19" s="726"/>
      <c r="F19" s="1005" t="s">
        <v>988</v>
      </c>
      <c r="G19" s="1006"/>
      <c r="H19" s="1005"/>
      <c r="I19" s="1007" t="s">
        <v>989</v>
      </c>
    </row>
    <row r="20" customFormat="false" ht="12.75" hidden="false" customHeight="false" outlineLevel="0" collapsed="false">
      <c r="A20" s="1008"/>
      <c r="B20" s="719" t="str">
        <f aca="false">Assm!A18</f>
        <v>Term Of Contract (Yrs)</v>
      </c>
      <c r="C20" s="1009" t="n">
        <f aca="false">Assm!F18</f>
        <v>20</v>
      </c>
      <c r="D20" s="1010" t="s">
        <v>990</v>
      </c>
      <c r="E20" s="1011"/>
      <c r="F20" s="1005" t="s">
        <v>991</v>
      </c>
      <c r="G20" s="1006" t="n">
        <v>36224</v>
      </c>
      <c r="H20" s="1005" t="s">
        <v>982</v>
      </c>
      <c r="I20" s="1007" t="s">
        <v>992</v>
      </c>
    </row>
    <row r="21" customFormat="false" ht="13.5" hidden="false" customHeight="false" outlineLevel="0" collapsed="false">
      <c r="A21" s="175"/>
      <c r="B21" s="996" t="str">
        <f aca="false">Assm!A19</f>
        <v>Project Type</v>
      </c>
      <c r="C21" s="1012" t="str">
        <f aca="false">Assm!F19</f>
        <v>BOO</v>
      </c>
      <c r="D21" s="22"/>
      <c r="E21" s="22"/>
      <c r="F21" s="997" t="s">
        <v>977</v>
      </c>
      <c r="G21" s="998"/>
      <c r="H21" s="997"/>
      <c r="I21" s="999"/>
    </row>
    <row r="22" customFormat="false" ht="13.5" hidden="false" customHeight="false" outlineLevel="0" collapsed="false">
      <c r="A22" s="39"/>
      <c r="B22" s="39"/>
      <c r="C22" s="39"/>
      <c r="D22" s="39"/>
      <c r="F22" s="47"/>
      <c r="G22" s="1000"/>
      <c r="H22" s="47"/>
      <c r="I22" s="39"/>
    </row>
    <row r="23" customFormat="false" ht="12.75" hidden="false" customHeight="false" outlineLevel="0" collapsed="false">
      <c r="A23" s="1001" t="str">
        <f aca="false">Assm!A21</f>
        <v>Financial Closing</v>
      </c>
      <c r="B23" s="822" t="str">
        <f aca="false">Assm!A22</f>
        <v>Date Of Financial Close</v>
      </c>
      <c r="C23" s="1013" t="n">
        <f aca="false">Fin_Close</f>
        <v>36770</v>
      </c>
      <c r="D23" s="26"/>
      <c r="E23" s="820"/>
      <c r="F23" s="993" t="s">
        <v>993</v>
      </c>
      <c r="G23" s="994" t="n">
        <v>36236</v>
      </c>
      <c r="H23" s="993" t="s">
        <v>994</v>
      </c>
      <c r="I23" s="995"/>
    </row>
    <row r="24" customFormat="false" ht="12.75" hidden="false" customHeight="false" outlineLevel="0" collapsed="false">
      <c r="A24" s="1008"/>
      <c r="B24" s="719" t="str">
        <f aca="false">Assm!A23</f>
        <v>NTP To Financial Close  (Mos)</v>
      </c>
      <c r="C24" s="1009" t="n">
        <f aca="false">Assm!F23</f>
        <v>29</v>
      </c>
      <c r="D24" s="39"/>
      <c r="E24" s="726"/>
      <c r="F24" s="1005" t="s">
        <v>987</v>
      </c>
      <c r="G24" s="1006"/>
      <c r="H24" s="1005"/>
      <c r="I24" s="1007"/>
    </row>
    <row r="25" customFormat="false" ht="13.5" hidden="false" customHeight="false" outlineLevel="0" collapsed="false">
      <c r="A25" s="1014"/>
      <c r="B25" s="873" t="str">
        <f aca="false">Assm!A25</f>
        <v>First Debt Service Payment</v>
      </c>
      <c r="C25" s="1015" t="n">
        <f aca="false">Debt_Serv</f>
        <v>37288</v>
      </c>
      <c r="D25" s="22"/>
      <c r="E25" s="872"/>
      <c r="F25" s="997" t="s">
        <v>987</v>
      </c>
      <c r="G25" s="998"/>
      <c r="H25" s="997"/>
      <c r="I25" s="999" t="s">
        <v>995</v>
      </c>
    </row>
    <row r="26" customFormat="false" ht="13.5" hidden="false" customHeight="false" outlineLevel="0" collapsed="false">
      <c r="A26" s="39"/>
      <c r="B26" s="39"/>
      <c r="C26" s="39"/>
      <c r="D26" s="39"/>
      <c r="F26" s="47"/>
      <c r="G26" s="39"/>
      <c r="H26" s="47"/>
      <c r="I26" s="39"/>
      <c r="J26" s="712"/>
      <c r="K26" s="39"/>
    </row>
    <row r="27" customFormat="false" ht="12.75" hidden="false" customHeight="false" outlineLevel="0" collapsed="false">
      <c r="A27" s="477" t="str">
        <f aca="false">Assm!A27</f>
        <v>Transport Charges</v>
      </c>
      <c r="B27" s="1016"/>
      <c r="C27" s="1017" t="n">
        <f aca="false">C37</f>
        <v>1998</v>
      </c>
      <c r="D27" s="1018"/>
      <c r="E27" s="1019"/>
      <c r="F27" s="993"/>
      <c r="G27" s="994"/>
      <c r="H27" s="993"/>
      <c r="I27" s="1020"/>
    </row>
    <row r="28" customFormat="false" ht="12.75" hidden="false" customHeight="false" outlineLevel="0" collapsed="false">
      <c r="A28" s="37"/>
      <c r="B28" s="1021" t="str">
        <f aca="false">Assm!A29</f>
        <v>Capacity Charge</v>
      </c>
      <c r="C28" s="1022" t="n">
        <f aca="false">Assm!D29</f>
        <v>0.3351</v>
      </c>
      <c r="D28" s="1023" t="str">
        <f aca="false">Assm!C29</f>
        <v>$ / MMBTU</v>
      </c>
      <c r="E28" s="1024"/>
      <c r="F28" s="1005" t="s">
        <v>996</v>
      </c>
      <c r="G28" s="1006" t="n">
        <v>36224</v>
      </c>
      <c r="H28" s="1005" t="s">
        <v>982</v>
      </c>
      <c r="I28" s="106" t="s">
        <v>997</v>
      </c>
    </row>
    <row r="29" customFormat="false" ht="12.75" hidden="false" customHeight="false" outlineLevel="0" collapsed="false">
      <c r="A29" s="37"/>
      <c r="B29" s="1021" t="str">
        <f aca="false">Assm!A30</f>
        <v>Variable Charge</v>
      </c>
      <c r="C29" s="1022" t="n">
        <f aca="false">Assm!D30</f>
        <v>0.005</v>
      </c>
      <c r="D29" s="1023" t="str">
        <f aca="false">Assm!C30</f>
        <v>$ / MMBTU</v>
      </c>
      <c r="E29" s="1024"/>
      <c r="F29" s="1005" t="s">
        <v>996</v>
      </c>
      <c r="G29" s="1006" t="n">
        <v>36224</v>
      </c>
      <c r="H29" s="1005" t="s">
        <v>982</v>
      </c>
      <c r="I29" s="106" t="s">
        <v>997</v>
      </c>
    </row>
    <row r="30" customFormat="false" ht="13.5" hidden="false" customHeight="false" outlineLevel="0" collapsed="false">
      <c r="A30" s="49"/>
      <c r="B30" s="1025" t="s">
        <v>998</v>
      </c>
      <c r="C30" s="1026" t="str">
        <f aca="false">Assm!$F$29</f>
        <v>Greater Of CPI Or 1.005</v>
      </c>
      <c r="D30" s="1027"/>
      <c r="E30" s="1028"/>
      <c r="F30" s="997" t="s">
        <v>996</v>
      </c>
      <c r="G30" s="998" t="n">
        <v>36224</v>
      </c>
      <c r="H30" s="997" t="s">
        <v>982</v>
      </c>
      <c r="I30" s="999" t="s">
        <v>997</v>
      </c>
    </row>
    <row r="31" customFormat="false" ht="13.5" hidden="false" customHeight="false" outlineLevel="0" collapsed="false">
      <c r="A31" s="39"/>
      <c r="B31" s="39"/>
      <c r="C31" s="39"/>
      <c r="D31" s="39"/>
      <c r="F31" s="47"/>
      <c r="G31" s="39"/>
      <c r="H31" s="47"/>
      <c r="I31" s="39"/>
    </row>
    <row r="32" customFormat="false" ht="12.75" hidden="false" customHeight="false" outlineLevel="0" collapsed="false">
      <c r="A32" s="477" t="str">
        <f aca="false">Assm!A32</f>
        <v>Firm Service TOP</v>
      </c>
      <c r="B32" s="992" t="str">
        <f aca="false">Assm!E32</f>
        <v>Start Date</v>
      </c>
      <c r="C32" s="1013" t="n">
        <f aca="false">Assm!F32</f>
        <v>37104</v>
      </c>
      <c r="D32" s="26"/>
      <c r="E32" s="26"/>
      <c r="F32" s="993" t="s">
        <v>996</v>
      </c>
      <c r="G32" s="994" t="n">
        <v>36224</v>
      </c>
      <c r="H32" s="993" t="s">
        <v>982</v>
      </c>
      <c r="I32" s="995" t="s">
        <v>999</v>
      </c>
    </row>
    <row r="33" customFormat="false" ht="12.75" hidden="false" customHeight="false" outlineLevel="0" collapsed="false">
      <c r="A33" s="37"/>
      <c r="B33" s="1021"/>
      <c r="C33" s="1029" t="str">
        <f aca="false">Assm!D33</f>
        <v>Average</v>
      </c>
      <c r="D33" s="712"/>
      <c r="E33" s="712"/>
      <c r="F33" s="1005"/>
      <c r="G33" s="1006"/>
      <c r="H33" s="1005"/>
      <c r="I33" s="1007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</row>
    <row r="34" customFormat="false" ht="12.75" hidden="false" customHeight="false" outlineLevel="0" collapsed="false">
      <c r="A34" s="37"/>
      <c r="B34" s="1021"/>
      <c r="C34" s="1030" t="str">
        <f aca="false">Assm!D34</f>
        <v>MAXDTQ</v>
      </c>
      <c r="D34" s="1031" t="str">
        <f aca="false">Assm!E34</f>
        <v>TOP%</v>
      </c>
      <c r="E34" s="1031" t="str">
        <f aca="false">Assm!F34</f>
        <v>TOP Vol</v>
      </c>
      <c r="F34" s="1005"/>
      <c r="G34" s="1006"/>
      <c r="H34" s="1005"/>
      <c r="I34" s="1007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3.5" hidden="false" customHeight="false" outlineLevel="0" collapsed="false">
      <c r="A35" s="49"/>
      <c r="B35" s="996"/>
      <c r="C35" s="880" t="n">
        <f aca="false">Assm!D35</f>
        <v>102990</v>
      </c>
      <c r="D35" s="1032" t="n">
        <f aca="false">Assm!E35</f>
        <v>1</v>
      </c>
      <c r="E35" s="880" t="n">
        <f aca="false">Assm!F35</f>
        <v>102990</v>
      </c>
      <c r="F35" s="997" t="s">
        <v>996</v>
      </c>
      <c r="G35" s="998" t="n">
        <v>36224</v>
      </c>
      <c r="H35" s="997" t="s">
        <v>982</v>
      </c>
      <c r="I35" s="999" t="s">
        <v>999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</row>
    <row r="36" customFormat="false" ht="13.5" hidden="false" customHeight="false" outlineLevel="0" collapsed="false">
      <c r="A36" s="39"/>
      <c r="B36" s="39"/>
      <c r="C36" s="39"/>
      <c r="D36" s="39"/>
      <c r="F36" s="47"/>
      <c r="G36" s="39"/>
      <c r="H36" s="47"/>
      <c r="I36" s="39"/>
    </row>
    <row r="37" customFormat="false" ht="12.75" hidden="false" customHeight="false" outlineLevel="0" collapsed="false">
      <c r="A37" s="1001" t="str">
        <f aca="false">Assm!A37</f>
        <v>Operating Expenses ($000)</v>
      </c>
      <c r="B37" s="1033" t="s">
        <v>1000</v>
      </c>
      <c r="C37" s="1034" t="n">
        <f aca="false">Assm!E39</f>
        <v>1998</v>
      </c>
      <c r="D37" s="26"/>
      <c r="E37" s="820"/>
      <c r="F37" s="993"/>
      <c r="G37" s="994"/>
      <c r="H37" s="993"/>
      <c r="I37" s="1020"/>
      <c r="J37" s="39"/>
      <c r="K37" s="39"/>
    </row>
    <row r="38" customFormat="false" ht="12.75" hidden="false" customHeight="false" outlineLevel="0" collapsed="false">
      <c r="A38" s="1008"/>
      <c r="B38" s="1035" t="s">
        <v>542</v>
      </c>
      <c r="C38" s="1036" t="str">
        <f aca="false">Assm!F37</f>
        <v>CPI Annual</v>
      </c>
      <c r="D38" s="39"/>
      <c r="E38" s="726"/>
      <c r="F38" s="1005"/>
      <c r="G38" s="1006"/>
      <c r="H38" s="1005"/>
      <c r="I38" s="106" t="s">
        <v>1001</v>
      </c>
      <c r="J38" s="39"/>
      <c r="K38" s="39"/>
    </row>
    <row r="39" customFormat="false" ht="12.75" hidden="false" customHeight="false" outlineLevel="0" collapsed="false">
      <c r="A39" s="1008"/>
      <c r="B39" s="1037" t="str">
        <f aca="false">Assm!A39</f>
        <v>Fixed:</v>
      </c>
      <c r="C39" s="1038"/>
      <c r="D39" s="288"/>
      <c r="E39" s="1039"/>
      <c r="F39" s="1005"/>
      <c r="G39" s="1006"/>
      <c r="H39" s="1005"/>
      <c r="I39" s="106"/>
      <c r="J39" s="39"/>
      <c r="K39" s="39"/>
    </row>
    <row r="40" customFormat="false" ht="12.75" hidden="false" customHeight="false" outlineLevel="0" collapsed="false">
      <c r="A40" s="1008"/>
      <c r="B40" s="1021" t="str">
        <f aca="false">Assm!A40</f>
        <v>Salaries &amp; Benefits</v>
      </c>
      <c r="C40" s="1040" t="n">
        <f aca="false">Assm!E40</f>
        <v>174.548</v>
      </c>
      <c r="D40" s="229"/>
      <c r="E40" s="1041"/>
      <c r="F40" s="1005" t="s">
        <v>1002</v>
      </c>
      <c r="G40" s="1006" t="n">
        <v>35881</v>
      </c>
      <c r="H40" s="1005" t="s">
        <v>1003</v>
      </c>
      <c r="I40" s="106" t="s">
        <v>1004</v>
      </c>
      <c r="J40" s="39"/>
      <c r="K40" s="39"/>
    </row>
    <row r="41" customFormat="false" ht="12.75" hidden="false" customHeight="false" outlineLevel="0" collapsed="false">
      <c r="A41" s="1008"/>
      <c r="B41" s="1021" t="str">
        <f aca="false">Assm!A41</f>
        <v>Administrative Expenses - General</v>
      </c>
      <c r="C41" s="1040" t="n">
        <f aca="false">Assm!E41</f>
        <v>54</v>
      </c>
      <c r="D41" s="229"/>
      <c r="E41" s="1041"/>
      <c r="F41" s="1005" t="s">
        <v>1002</v>
      </c>
      <c r="G41" s="1006" t="n">
        <v>35881</v>
      </c>
      <c r="H41" s="1005" t="s">
        <v>1003</v>
      </c>
      <c r="I41" s="106" t="s">
        <v>1004</v>
      </c>
      <c r="J41" s="39"/>
      <c r="K41" s="39"/>
    </row>
    <row r="42" customFormat="false" ht="12.75" hidden="false" customHeight="false" outlineLevel="0" collapsed="false">
      <c r="A42" s="1008"/>
      <c r="B42" s="1021" t="str">
        <f aca="false">Assm!A42</f>
        <v>Administrative Expenses - Transredes</v>
      </c>
      <c r="C42" s="1040" t="n">
        <f aca="false">Assm!E42</f>
        <v>250</v>
      </c>
      <c r="D42" s="229"/>
      <c r="E42" s="1041"/>
      <c r="F42" s="1005" t="s">
        <v>1002</v>
      </c>
      <c r="G42" s="1006" t="n">
        <v>35881</v>
      </c>
      <c r="H42" s="1005" t="s">
        <v>1003</v>
      </c>
      <c r="I42" s="106" t="s">
        <v>1004</v>
      </c>
      <c r="J42" s="39"/>
      <c r="K42" s="39"/>
    </row>
    <row r="43" customFormat="false" ht="12.75" hidden="false" customHeight="false" outlineLevel="0" collapsed="false">
      <c r="A43" s="1008"/>
      <c r="B43" s="1021" t="str">
        <f aca="false">Assm!A43</f>
        <v>Equipment Rental</v>
      </c>
      <c r="C43" s="1040" t="n">
        <f aca="false">Assm!E43</f>
        <v>658.068</v>
      </c>
      <c r="D43" s="1042"/>
      <c r="E43" s="1043"/>
      <c r="F43" s="1005" t="s">
        <v>1002</v>
      </c>
      <c r="G43" s="1006" t="n">
        <v>35881</v>
      </c>
      <c r="H43" s="1005" t="s">
        <v>1003</v>
      </c>
      <c r="I43" s="106" t="s">
        <v>1004</v>
      </c>
      <c r="J43" s="39"/>
      <c r="K43" s="39"/>
    </row>
    <row r="44" customFormat="false" ht="12.75" hidden="false" customHeight="false" outlineLevel="0" collapsed="false">
      <c r="A44" s="1008"/>
      <c r="B44" s="1021" t="str">
        <f aca="false">Assm!A44</f>
        <v>Other O&amp;M Expenses</v>
      </c>
      <c r="C44" s="1040" t="n">
        <f aca="false">Assm!E44</f>
        <v>7.2</v>
      </c>
      <c r="D44" s="373"/>
      <c r="E44" s="1044"/>
      <c r="F44" s="1005" t="s">
        <v>1002</v>
      </c>
      <c r="G44" s="1006" t="n">
        <v>35881</v>
      </c>
      <c r="H44" s="1005" t="s">
        <v>1003</v>
      </c>
      <c r="I44" s="106" t="s">
        <v>1004</v>
      </c>
      <c r="J44" s="39"/>
      <c r="K44" s="39"/>
    </row>
    <row r="45" customFormat="false" ht="12.75" hidden="false" customHeight="false" outlineLevel="0" collapsed="false">
      <c r="A45" s="1008"/>
      <c r="B45" s="1021" t="str">
        <f aca="false">Assm!A45</f>
        <v>Gas Loss</v>
      </c>
      <c r="C45" s="1040" t="n">
        <f aca="false">Assm!E45</f>
        <v>0</v>
      </c>
      <c r="D45" s="1045"/>
      <c r="E45" s="825"/>
      <c r="F45" s="1005" t="s">
        <v>1002</v>
      </c>
      <c r="G45" s="1006" t="n">
        <v>35881</v>
      </c>
      <c r="H45" s="1005" t="s">
        <v>1003</v>
      </c>
      <c r="I45" s="106" t="s">
        <v>1004</v>
      </c>
      <c r="J45" s="39"/>
      <c r="K45" s="39"/>
    </row>
    <row r="46" customFormat="false" ht="12.75" hidden="false" customHeight="false" outlineLevel="0" collapsed="false">
      <c r="A46" s="1008"/>
      <c r="B46" s="1021" t="str">
        <f aca="false">Assm!A46</f>
        <v>Technical Services Fee</v>
      </c>
      <c r="C46" s="1040" t="n">
        <f aca="false">Assm!E46</f>
        <v>169.312</v>
      </c>
      <c r="D46" s="39"/>
      <c r="E46" s="726"/>
      <c r="F46" s="1005" t="s">
        <v>1002</v>
      </c>
      <c r="G46" s="1006" t="n">
        <v>35881</v>
      </c>
      <c r="H46" s="1005" t="s">
        <v>1003</v>
      </c>
      <c r="I46" s="106" t="s">
        <v>1004</v>
      </c>
    </row>
    <row r="47" customFormat="false" ht="12.75" hidden="false" customHeight="false" outlineLevel="0" collapsed="false">
      <c r="A47" s="1008"/>
      <c r="B47" s="1021" t="str">
        <f aca="false">Assm!A47</f>
        <v>Capital Budget Expenses (See Trapped Cash Sheet)</v>
      </c>
      <c r="C47" s="1040" t="n">
        <f aca="false">Assm!E47</f>
        <v>54.8256880733945</v>
      </c>
      <c r="D47" s="174"/>
      <c r="E47" s="714"/>
      <c r="F47" s="1005" t="s">
        <v>1002</v>
      </c>
      <c r="G47" s="1006" t="n">
        <v>35881</v>
      </c>
      <c r="H47" s="1005" t="s">
        <v>1003</v>
      </c>
      <c r="I47" s="106" t="s">
        <v>1004</v>
      </c>
    </row>
    <row r="48" customFormat="false" ht="13.5" hidden="false" customHeight="false" outlineLevel="0" collapsed="false">
      <c r="A48" s="1014"/>
      <c r="B48" s="996" t="str">
        <f aca="false">Assm!A48</f>
        <v>Operating Insurance</v>
      </c>
      <c r="C48" s="1046" t="n">
        <f aca="false">Assm!E48</f>
        <v>370.836</v>
      </c>
      <c r="D48" s="22"/>
      <c r="E48" s="872"/>
      <c r="F48" s="997" t="s">
        <v>1005</v>
      </c>
      <c r="G48" s="998" t="n">
        <v>36157</v>
      </c>
      <c r="H48" s="997" t="s">
        <v>1006</v>
      </c>
      <c r="I48" s="1047" t="s">
        <v>1007</v>
      </c>
    </row>
    <row r="49" customFormat="false" ht="13.5" hidden="false" customHeight="false" outlineLevel="0" collapsed="false">
      <c r="F49" s="468"/>
      <c r="H49" s="468"/>
    </row>
    <row r="50" customFormat="false" ht="12.75" hidden="false" customHeight="false" outlineLevel="0" collapsed="false">
      <c r="A50" s="477" t="str">
        <f aca="false">Assm!A51</f>
        <v>TBS Transport Option ($000)</v>
      </c>
      <c r="B50" s="822" t="str">
        <f aca="false">CONCATENATE(Assm!C51," ",Assm!C52)</f>
        <v>Option Paid By TBS To GasMat To Expand Pipeline Facilities From 102,990 To 182,540 MMBTU/Day</v>
      </c>
      <c r="C50" s="1048"/>
      <c r="D50" s="474"/>
      <c r="E50" s="1049"/>
      <c r="F50" s="993"/>
      <c r="G50" s="994"/>
      <c r="H50" s="993"/>
      <c r="I50" s="1020"/>
    </row>
    <row r="51" customFormat="false" ht="12.75" hidden="false" customHeight="false" outlineLevel="0" collapsed="false">
      <c r="A51" s="37"/>
      <c r="B51" s="1050"/>
      <c r="C51" s="1051"/>
      <c r="D51" s="107"/>
      <c r="E51" s="831"/>
      <c r="F51" s="1005"/>
      <c r="G51" s="1006"/>
      <c r="H51" s="1005"/>
      <c r="I51" s="106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</row>
    <row r="52" customFormat="false" ht="12.75" hidden="false" customHeight="false" outlineLevel="0" collapsed="false">
      <c r="A52" s="37"/>
      <c r="B52" s="1050" t="str">
        <f aca="false">Assm!A54</f>
        <v>Option Scenario (0=Off, 1=On)</v>
      </c>
      <c r="C52" s="1009" t="n">
        <f aca="false">Assm!C54</f>
        <v>0</v>
      </c>
      <c r="D52" s="107"/>
      <c r="E52" s="831"/>
      <c r="F52" s="1005"/>
      <c r="G52" s="1006"/>
      <c r="H52" s="1005"/>
      <c r="I52" s="106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  <c r="FZ52" s="39"/>
      <c r="GA52" s="39"/>
      <c r="GB52" s="39"/>
      <c r="GC52" s="39"/>
      <c r="GD52" s="39"/>
      <c r="GE52" s="39"/>
      <c r="GF52" s="39"/>
      <c r="GG52" s="39"/>
      <c r="GH52" s="39"/>
      <c r="GI52" s="39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  <c r="HW52" s="39"/>
      <c r="HX52" s="39"/>
      <c r="HY52" s="39"/>
      <c r="HZ52" s="39"/>
      <c r="IA52" s="39"/>
      <c r="IB52" s="39"/>
      <c r="IC52" s="39"/>
      <c r="ID52" s="39"/>
      <c r="IE52" s="39"/>
      <c r="IF52" s="39"/>
      <c r="IG52" s="39"/>
      <c r="IH52" s="39"/>
      <c r="II52" s="39"/>
      <c r="IJ52" s="39"/>
      <c r="IK52" s="39"/>
      <c r="IL52" s="39"/>
      <c r="IM52" s="39"/>
      <c r="IN52" s="39"/>
      <c r="IO52" s="39"/>
      <c r="IP52" s="39"/>
      <c r="IQ52" s="39"/>
      <c r="IR52" s="39"/>
      <c r="IS52" s="39"/>
      <c r="IT52" s="39"/>
      <c r="IU52" s="39"/>
      <c r="IV52" s="39"/>
      <c r="IW52" s="39"/>
    </row>
    <row r="53" customFormat="false" ht="12.75" hidden="false" customHeight="false" outlineLevel="0" collapsed="false">
      <c r="A53" s="37"/>
      <c r="B53" s="1050" t="str">
        <f aca="false">Assm!D54</f>
        <v>Year Of Option Payment</v>
      </c>
      <c r="C53" s="1009" t="n">
        <f aca="false">Assm!F54</f>
        <v>2004</v>
      </c>
      <c r="D53" s="107"/>
      <c r="E53" s="831"/>
      <c r="F53" s="1005" t="s">
        <v>1008</v>
      </c>
      <c r="G53" s="1006" t="n">
        <v>36063</v>
      </c>
      <c r="H53" s="1005" t="s">
        <v>1009</v>
      </c>
      <c r="I53" s="106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  <c r="HW53" s="39"/>
      <c r="HX53" s="39"/>
      <c r="HY53" s="39"/>
      <c r="HZ53" s="39"/>
      <c r="IA53" s="39"/>
      <c r="IB53" s="39"/>
      <c r="IC53" s="39"/>
      <c r="ID53" s="39"/>
      <c r="IE53" s="39"/>
      <c r="IF53" s="39"/>
      <c r="IG53" s="39"/>
      <c r="IH53" s="39"/>
      <c r="II53" s="39"/>
      <c r="IJ53" s="39"/>
      <c r="IK53" s="39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</row>
    <row r="54" customFormat="false" ht="13.5" hidden="false" customHeight="false" outlineLevel="0" collapsed="false">
      <c r="A54" s="49"/>
      <c r="B54" s="1025" t="str">
        <f aca="false">Assm!D55</f>
        <v>Option Amount</v>
      </c>
      <c r="C54" s="1052" t="n">
        <f aca="false">Assm!F55</f>
        <v>5000</v>
      </c>
      <c r="D54" s="1027"/>
      <c r="E54" s="1028"/>
      <c r="F54" s="997" t="s">
        <v>996</v>
      </c>
      <c r="G54" s="998" t="n">
        <v>36224</v>
      </c>
      <c r="H54" s="997" t="s">
        <v>982</v>
      </c>
      <c r="I54" s="1047" t="s">
        <v>1010</v>
      </c>
    </row>
    <row r="55" customFormat="false" ht="13.5" hidden="false" customHeight="false" outlineLevel="0" collapsed="false">
      <c r="F55" s="468"/>
      <c r="H55" s="468"/>
    </row>
    <row r="56" customFormat="false" ht="12.75" hidden="false" customHeight="false" outlineLevel="0" collapsed="false">
      <c r="A56" s="477" t="str">
        <f aca="false">Assm!A57</f>
        <v>Fuel Conversion</v>
      </c>
      <c r="B56" s="992" t="s">
        <v>1011</v>
      </c>
      <c r="C56" s="1053" t="n">
        <f aca="false">Assm!D59</f>
        <v>9.2</v>
      </c>
      <c r="D56" s="1054" t="s">
        <v>1012</v>
      </c>
      <c r="E56" s="1049"/>
      <c r="F56" s="993" t="s">
        <v>1013</v>
      </c>
      <c r="G56" s="994"/>
      <c r="H56" s="993"/>
      <c r="I56" s="1020"/>
    </row>
    <row r="57" customFormat="false" ht="12.75" hidden="false" customHeight="false" outlineLevel="0" collapsed="false">
      <c r="A57" s="37"/>
      <c r="B57" s="1050" t="s">
        <v>1014</v>
      </c>
      <c r="C57" s="1051" t="n">
        <f aca="false">Assm!D60</f>
        <v>3.9683</v>
      </c>
      <c r="D57" s="53" t="s">
        <v>1015</v>
      </c>
      <c r="E57" s="831"/>
      <c r="F57" s="1005" t="s">
        <v>1013</v>
      </c>
      <c r="G57" s="1006"/>
      <c r="H57" s="1005"/>
      <c r="I57" s="106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</row>
    <row r="58" customFormat="false" ht="13.5" hidden="false" customHeight="false" outlineLevel="0" collapsed="false">
      <c r="A58" s="49"/>
      <c r="B58" s="1025" t="s">
        <v>231</v>
      </c>
      <c r="C58" s="1055" t="n">
        <f aca="false">Assm!D61</f>
        <v>36.50836</v>
      </c>
      <c r="D58" s="120" t="s">
        <v>1016</v>
      </c>
      <c r="E58" s="1028"/>
      <c r="F58" s="997" t="s">
        <v>987</v>
      </c>
      <c r="G58" s="998"/>
      <c r="H58" s="997"/>
      <c r="I58" s="1047"/>
    </row>
  </sheetData>
  <mergeCells count="1"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16"/>
      <c r="D1" s="351"/>
      <c r="E1" s="351"/>
      <c r="F1" s="469"/>
      <c r="G1" s="15"/>
      <c r="H1" s="469"/>
      <c r="I1" s="469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16"/>
      <c r="D2" s="351"/>
      <c r="E2" s="351"/>
      <c r="F2" s="469"/>
      <c r="G2" s="15"/>
      <c r="H2" s="469"/>
      <c r="I2" s="469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356"/>
      <c r="F3" s="469"/>
      <c r="G3" s="15"/>
      <c r="H3" s="469"/>
      <c r="I3" s="47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1017</v>
      </c>
      <c r="B4" s="885"/>
      <c r="C4" s="116"/>
      <c r="D4" s="885"/>
      <c r="E4" s="885"/>
      <c r="F4" s="469"/>
      <c r="G4" s="15"/>
      <c r="H4" s="469"/>
      <c r="I4" s="47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980"/>
      <c r="B6" s="821"/>
      <c r="C6" s="981"/>
      <c r="D6" s="982"/>
      <c r="E6" s="983"/>
      <c r="F6" s="821"/>
      <c r="G6" s="821"/>
      <c r="H6" s="821" t="s">
        <v>967</v>
      </c>
      <c r="I6" s="984"/>
    </row>
    <row r="7" customFormat="false" ht="12.75" hidden="false" customHeight="false" outlineLevel="0" collapsed="false">
      <c r="A7" s="985"/>
      <c r="B7" s="921"/>
      <c r="C7" s="921" t="s">
        <v>1018</v>
      </c>
      <c r="D7" s="921"/>
      <c r="E7" s="921"/>
      <c r="F7" s="921"/>
      <c r="G7" s="921" t="s">
        <v>968</v>
      </c>
      <c r="H7" s="921" t="s">
        <v>1019</v>
      </c>
      <c r="I7" s="987"/>
    </row>
    <row r="8" customFormat="false" ht="13.5" hidden="false" customHeight="false" outlineLevel="0" collapsed="false">
      <c r="A8" s="988" t="s">
        <v>970</v>
      </c>
      <c r="B8" s="990" t="s">
        <v>971</v>
      </c>
      <c r="C8" s="990" t="s">
        <v>1020</v>
      </c>
      <c r="D8" s="990"/>
      <c r="E8" s="990"/>
      <c r="F8" s="990" t="s">
        <v>973</v>
      </c>
      <c r="G8" s="990" t="s">
        <v>974</v>
      </c>
      <c r="H8" s="990" t="s">
        <v>975</v>
      </c>
      <c r="I8" s="991" t="s">
        <v>976</v>
      </c>
    </row>
    <row r="9" customFormat="false" ht="13.5" hidden="false" customHeight="false" outlineLevel="0" collapsed="false">
      <c r="A9" s="39"/>
      <c r="B9" s="38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01" t="str">
        <f aca="false">Assm!H6</f>
        <v>Brazilian Taxes</v>
      </c>
      <c r="B10" s="1056" t="str">
        <f aca="false">Assm!H7</f>
        <v>Operating Taxes</v>
      </c>
      <c r="C10" s="1057"/>
      <c r="D10" s="1058"/>
      <c r="E10" s="820"/>
      <c r="F10" s="993"/>
      <c r="G10" s="994"/>
      <c r="H10" s="993"/>
      <c r="I10" s="995"/>
    </row>
    <row r="11" customFormat="false" ht="12.75" hidden="false" customHeight="false" outlineLevel="0" collapsed="false">
      <c r="A11" s="1003"/>
      <c r="B11" s="1021" t="str">
        <f aca="false">Assm!H8</f>
        <v>Corporate Income Tax</v>
      </c>
      <c r="C11" s="1059" t="n">
        <f aca="false">Assm!J8</f>
        <v>0.15</v>
      </c>
      <c r="D11" s="1060" t="str">
        <f aca="false">IF(Assm!K8=0," ",Assm!K8)</f>
        <v>Of Taxable Income</v>
      </c>
      <c r="E11" s="726"/>
      <c r="F11" s="1005" t="s">
        <v>1021</v>
      </c>
      <c r="G11" s="1006" t="n">
        <v>35993</v>
      </c>
      <c r="H11" s="1005" t="s">
        <v>1022</v>
      </c>
      <c r="I11" s="1007" t="s">
        <v>1023</v>
      </c>
    </row>
    <row r="12" customFormat="false" ht="12.75" hidden="false" customHeight="false" outlineLevel="0" collapsed="false">
      <c r="A12" s="1003"/>
      <c r="B12" s="1021" t="str">
        <f aca="false">Assm!H9</f>
        <v>Additional Income Tax</v>
      </c>
      <c r="C12" s="1059" t="n">
        <f aca="false">Assm!J9</f>
        <v>0.1</v>
      </c>
      <c r="D12" s="1060" t="str">
        <f aca="false">IF(Assm!K9=0," ",Assm!K9)</f>
        <v>Income Over R$</v>
      </c>
      <c r="E12" s="726"/>
      <c r="F12" s="1005" t="s">
        <v>1021</v>
      </c>
      <c r="G12" s="1006" t="n">
        <v>35993</v>
      </c>
      <c r="H12" s="1005" t="s">
        <v>1022</v>
      </c>
      <c r="I12" s="1007" t="s">
        <v>1024</v>
      </c>
    </row>
    <row r="13" customFormat="false" ht="12.75" hidden="false" customHeight="false" outlineLevel="0" collapsed="false">
      <c r="A13" s="1003"/>
      <c r="B13" s="1021" t="str">
        <f aca="false">Assm!H10</f>
        <v>Social Contribution Tax</v>
      </c>
      <c r="C13" s="1059" t="n">
        <f aca="false">Assm!J10</f>
        <v>0.08</v>
      </c>
      <c r="D13" s="1060" t="str">
        <f aca="false">IF(Assm!K10=0," ",Assm!K10)</f>
        <v>On Taxaable Income</v>
      </c>
      <c r="E13" s="726"/>
      <c r="F13" s="1005" t="s">
        <v>1021</v>
      </c>
      <c r="G13" s="1006" t="n">
        <v>35993</v>
      </c>
      <c r="H13" s="1005" t="s">
        <v>1022</v>
      </c>
      <c r="I13" s="1007" t="s">
        <v>1025</v>
      </c>
    </row>
    <row r="14" customFormat="false" ht="12.75" hidden="false" customHeight="false" outlineLevel="0" collapsed="false">
      <c r="A14" s="1003"/>
      <c r="B14" s="1021" t="str">
        <f aca="false">Assm!H11</f>
        <v>NOL (Unlimited Carryforward, No Carryback) - Capped @</v>
      </c>
      <c r="C14" s="1059" t="n">
        <f aca="false">Assm!J11</f>
        <v>0.3</v>
      </c>
      <c r="D14" s="1060" t="str">
        <f aca="false">IF(Assm!K11=0," ",Assm!K11)</f>
        <v>Of Taxable Income </v>
      </c>
      <c r="E14" s="726"/>
      <c r="F14" s="1005" t="s">
        <v>1021</v>
      </c>
      <c r="G14" s="1006" t="n">
        <v>35993</v>
      </c>
      <c r="H14" s="1005" t="s">
        <v>1022</v>
      </c>
      <c r="I14" s="1007" t="s">
        <v>1026</v>
      </c>
    </row>
    <row r="15" customFormat="false" ht="12.75" hidden="false" customHeight="false" outlineLevel="0" collapsed="false">
      <c r="A15" s="1003"/>
      <c r="B15" s="1021" t="str">
        <f aca="false">Assm!H12</f>
        <v>W/H Tax - Dividends (Non-Residents)</v>
      </c>
      <c r="C15" s="1059" t="n">
        <f aca="false">Assm!J12</f>
        <v>0</v>
      </c>
      <c r="D15" s="1060" t="str">
        <f aca="false">IF(Assm!K12=0," ",Assm!K12)</f>
        <v>Income Earned After 1/1/96 Exempt</v>
      </c>
      <c r="E15" s="726"/>
      <c r="F15" s="1005" t="s">
        <v>1021</v>
      </c>
      <c r="G15" s="1006" t="n">
        <v>35993</v>
      </c>
      <c r="H15" s="1005" t="s">
        <v>1022</v>
      </c>
      <c r="I15" s="1007" t="s">
        <v>1027</v>
      </c>
    </row>
    <row r="16" customFormat="false" ht="12.75" hidden="false" customHeight="false" outlineLevel="0" collapsed="false">
      <c r="A16" s="1003"/>
      <c r="B16" s="1021" t="str">
        <f aca="false">Assm!H13</f>
        <v>W/H Tax - Interest (Non-MLA's)</v>
      </c>
      <c r="C16" s="1059" t="n">
        <f aca="false">Assm!J13</f>
        <v>0.15</v>
      </c>
      <c r="D16" s="1060" t="str">
        <f aca="false">IF(Assm!K13=0," ",Assm!K13)</f>
        <v>Gross Up For Interest Payments</v>
      </c>
      <c r="E16" s="726"/>
      <c r="F16" s="1005" t="s">
        <v>1021</v>
      </c>
      <c r="G16" s="1006" t="n">
        <v>35993</v>
      </c>
      <c r="H16" s="1005" t="s">
        <v>1022</v>
      </c>
      <c r="I16" s="1007" t="s">
        <v>1028</v>
      </c>
    </row>
    <row r="17" customFormat="false" ht="12.75" hidden="false" customHeight="false" outlineLevel="0" collapsed="false">
      <c r="A17" s="1003"/>
      <c r="B17" s="1021" t="str">
        <f aca="false">Assm!H15</f>
        <v>W/H Tax On Services (Non-Residents)</v>
      </c>
      <c r="C17" s="1059" t="n">
        <f aca="false">Assm!J15</f>
        <v>0.15</v>
      </c>
      <c r="D17" s="1060" t="str">
        <f aca="false">IF(Assm!K15=0," ",Assm!K15)</f>
        <v>Grossed Up At Project Level</v>
      </c>
      <c r="E17" s="726"/>
      <c r="F17" s="1005" t="s">
        <v>1021</v>
      </c>
      <c r="G17" s="1006" t="n">
        <v>35993</v>
      </c>
      <c r="H17" s="1005" t="s">
        <v>1022</v>
      </c>
      <c r="I17" s="1007" t="s">
        <v>1029</v>
      </c>
    </row>
    <row r="18" customFormat="false" ht="12.75" hidden="false" customHeight="false" outlineLevel="0" collapsed="false">
      <c r="A18" s="1003"/>
      <c r="B18" s="1021" t="str">
        <f aca="false">Assm!H16</f>
        <v>PIS - Social Contribution</v>
      </c>
      <c r="C18" s="1059" t="n">
        <f aca="false">Assm!J16</f>
        <v>0.0065</v>
      </c>
      <c r="D18" s="1060" t="str">
        <f aca="false">IF(Assm!K16=0," ",Assm!K16)</f>
        <v>On Gross Turnover</v>
      </c>
      <c r="E18" s="726"/>
      <c r="F18" s="1005" t="s">
        <v>1021</v>
      </c>
      <c r="G18" s="1006" t="n">
        <v>35993</v>
      </c>
      <c r="H18" s="1005" t="s">
        <v>1022</v>
      </c>
      <c r="I18" s="1007" t="s">
        <v>1030</v>
      </c>
    </row>
    <row r="19" customFormat="false" ht="12.75" hidden="false" customHeight="false" outlineLevel="0" collapsed="false">
      <c r="A19" s="1003"/>
      <c r="B19" s="1021" t="str">
        <f aca="false">Assm!H17</f>
        <v>COFINS - Social Contribution</v>
      </c>
      <c r="C19" s="1059" t="n">
        <f aca="false">Assm!J17</f>
        <v>0.03</v>
      </c>
      <c r="D19" s="1060" t="str">
        <f aca="false">IF(Assm!K17=0," ",Assm!K17)</f>
        <v>On Gross Turnover</v>
      </c>
      <c r="E19" s="726"/>
      <c r="F19" s="1005" t="s">
        <v>1021</v>
      </c>
      <c r="G19" s="1006" t="n">
        <v>35993</v>
      </c>
      <c r="H19" s="1005" t="s">
        <v>1022</v>
      </c>
      <c r="I19" s="1007" t="s">
        <v>1031</v>
      </c>
    </row>
    <row r="20" customFormat="false" ht="12.75" hidden="false" customHeight="false" outlineLevel="0" collapsed="false">
      <c r="A20" s="1003"/>
      <c r="B20" s="1021" t="str">
        <f aca="false">Assm!H18</f>
        <v>Payroll Tax</v>
      </c>
      <c r="C20" s="1059" t="n">
        <f aca="false">Assm!J18</f>
        <v>0.29</v>
      </c>
      <c r="D20" s="1060" t="str">
        <f aca="false">IF(Assm!K18=0," ",Assm!K18)</f>
        <v>On Payroll (Included In O&amp;M)</v>
      </c>
      <c r="E20" s="726"/>
      <c r="F20" s="1005" t="s">
        <v>1021</v>
      </c>
      <c r="G20" s="1006" t="n">
        <v>35993</v>
      </c>
      <c r="H20" s="1005" t="s">
        <v>1022</v>
      </c>
      <c r="I20" s="1007" t="s">
        <v>1032</v>
      </c>
    </row>
    <row r="21" customFormat="false" ht="12.75" hidden="false" customHeight="false" outlineLevel="0" collapsed="false">
      <c r="A21" s="1003"/>
      <c r="B21" s="1021" t="str">
        <f aca="false">Assm!H19</f>
        <v>Severence Fund</v>
      </c>
      <c r="C21" s="1059" t="n">
        <f aca="false">Assm!J19</f>
        <v>0.08</v>
      </c>
      <c r="D21" s="1060" t="str">
        <f aca="false">IF(Assm!K19=0," ",Assm!K19)</f>
        <v>On Payroll (Included In O&amp;M)</v>
      </c>
      <c r="E21" s="726"/>
      <c r="F21" s="1005" t="s">
        <v>1021</v>
      </c>
      <c r="G21" s="1006" t="n">
        <v>35993</v>
      </c>
      <c r="H21" s="1005" t="s">
        <v>1022</v>
      </c>
      <c r="I21" s="1007" t="s">
        <v>1033</v>
      </c>
    </row>
    <row r="22" customFormat="false" ht="12.75" hidden="false" customHeight="false" outlineLevel="0" collapsed="false">
      <c r="A22" s="1003"/>
      <c r="B22" s="1021" t="str">
        <f aca="false">Assm!H20</f>
        <v>Education Fund</v>
      </c>
      <c r="C22" s="1059" t="n">
        <f aca="false">Assm!J20</f>
        <v>0.025</v>
      </c>
      <c r="D22" s="1060" t="str">
        <f aca="false">IF(Assm!K20=0," ",Assm!K20)</f>
        <v>On Payroll (Included In O&amp;M)</v>
      </c>
      <c r="E22" s="726"/>
      <c r="F22" s="1005" t="s">
        <v>1034</v>
      </c>
      <c r="G22" s="1006" t="n">
        <v>35765</v>
      </c>
      <c r="H22" s="1005" t="s">
        <v>1022</v>
      </c>
      <c r="I22" s="1007" t="s">
        <v>1035</v>
      </c>
    </row>
    <row r="23" customFormat="false" ht="12.75" hidden="false" customHeight="false" outlineLevel="0" collapsed="false">
      <c r="A23" s="1003"/>
      <c r="B23" s="1021" t="str">
        <f aca="false">Assm!H21</f>
        <v>ICMS - Fuel Purchases</v>
      </c>
      <c r="C23" s="1059" t="n">
        <f aca="false">Assm!J21</f>
        <v>0.17</v>
      </c>
      <c r="D23" s="1060" t="str">
        <f aca="false">IF(Assm!K21=0," ",Assm!K21)</f>
        <v>Exempt</v>
      </c>
      <c r="E23" s="726"/>
      <c r="F23" s="1005" t="s">
        <v>1021</v>
      </c>
      <c r="G23" s="1006" t="n">
        <v>36059</v>
      </c>
      <c r="H23" s="1005" t="s">
        <v>1022</v>
      </c>
      <c r="I23" s="1007" t="s">
        <v>1036</v>
      </c>
    </row>
    <row r="24" customFormat="false" ht="12.75" hidden="false" customHeight="false" outlineLevel="0" collapsed="false">
      <c r="A24" s="1003"/>
      <c r="B24" s="1021" t="str">
        <f aca="false">Assm!H22</f>
        <v>ICMS - Transportation</v>
      </c>
      <c r="C24" s="1059" t="n">
        <f aca="false">Assm!J22</f>
        <v>0.17</v>
      </c>
      <c r="D24" s="1060" t="str">
        <f aca="false">IF(Assm!K22=0," ",Assm!K22)</f>
        <v>Exempt</v>
      </c>
      <c r="E24" s="726"/>
      <c r="F24" s="1005" t="s">
        <v>1021</v>
      </c>
      <c r="G24" s="1006" t="n">
        <v>36059</v>
      </c>
      <c r="H24" s="1005" t="s">
        <v>1022</v>
      </c>
      <c r="I24" s="1007" t="s">
        <v>1036</v>
      </c>
    </row>
    <row r="25" customFormat="false" ht="12.75" hidden="false" customHeight="false" outlineLevel="0" collapsed="false">
      <c r="A25" s="1003"/>
      <c r="B25" s="1021" t="str">
        <f aca="false">Assm!H23</f>
        <v>ISS - Services Rendered Tax</v>
      </c>
      <c r="C25" s="1059" t="n">
        <f aca="false">Assm!J23</f>
        <v>0</v>
      </c>
      <c r="D25" s="1060" t="str">
        <f aca="false">IF(Assm!K23=0," ",Assm!K23)</f>
        <v>Avg Between 2%-5% (Exempt)</v>
      </c>
      <c r="E25" s="726"/>
      <c r="F25" s="1005" t="s">
        <v>1021</v>
      </c>
      <c r="G25" s="1006" t="n">
        <v>35993</v>
      </c>
      <c r="H25" s="1005" t="s">
        <v>1022</v>
      </c>
      <c r="I25" s="1007" t="s">
        <v>1037</v>
      </c>
    </row>
    <row r="26" customFormat="false" ht="12.75" hidden="false" customHeight="false" outlineLevel="0" collapsed="false">
      <c r="A26" s="1003"/>
      <c r="B26" s="1037" t="str">
        <f aca="false">Assm!H24</f>
        <v>Customs Duties</v>
      </c>
      <c r="C26" s="1059"/>
      <c r="D26" s="1060"/>
      <c r="E26" s="726"/>
      <c r="F26" s="1005"/>
      <c r="G26" s="1006"/>
      <c r="H26" s="1005"/>
      <c r="I26" s="1007"/>
    </row>
    <row r="27" customFormat="false" ht="12.75" hidden="false" customHeight="false" outlineLevel="0" collapsed="false">
      <c r="A27" s="1003"/>
      <c r="B27" s="1021" t="str">
        <f aca="false">Assm!H25</f>
        <v>ICMS - Equipment</v>
      </c>
      <c r="C27" s="1059" t="n">
        <f aca="false">Assm!J25</f>
        <v>0.17</v>
      </c>
      <c r="D27" s="1060" t="str">
        <f aca="false">IF(Assm!K25=0," ",Assm!K25)</f>
        <v>Included In Turnkey</v>
      </c>
      <c r="E27" s="726"/>
      <c r="F27" s="1005" t="s">
        <v>981</v>
      </c>
      <c r="G27" s="1006" t="n">
        <v>35664</v>
      </c>
      <c r="H27" s="1005" t="s">
        <v>982</v>
      </c>
      <c r="I27" s="1007" t="s">
        <v>1038</v>
      </c>
    </row>
    <row r="28" customFormat="false" ht="12.75" hidden="false" customHeight="false" outlineLevel="0" collapsed="false">
      <c r="A28" s="1003"/>
      <c r="B28" s="1021" t="str">
        <f aca="false">Assm!H26</f>
        <v>Import Duties</v>
      </c>
      <c r="C28" s="1059" t="n">
        <f aca="false">Assm!J26</f>
        <v>0.15</v>
      </c>
      <c r="D28" s="1060" t="str">
        <f aca="false">IF(Assm!K26=0," ",Assm!K26)</f>
        <v>Included In Turnkey</v>
      </c>
      <c r="E28" s="726"/>
      <c r="F28" s="1005" t="s">
        <v>981</v>
      </c>
      <c r="G28" s="1006" t="n">
        <v>35664</v>
      </c>
      <c r="H28" s="1005" t="s">
        <v>982</v>
      </c>
      <c r="I28" s="1007" t="s">
        <v>1038</v>
      </c>
    </row>
    <row r="29" customFormat="false" ht="13.5" hidden="false" customHeight="false" outlineLevel="0" collapsed="false">
      <c r="A29" s="1061"/>
      <c r="B29" s="996" t="str">
        <f aca="false">Assm!H27</f>
        <v>IPI - Industrial Products Tax</v>
      </c>
      <c r="C29" s="1062" t="n">
        <f aca="false">Assm!J27</f>
        <v>0.087</v>
      </c>
      <c r="D29" s="1063" t="str">
        <f aca="false">IF(Assm!K27=0," ",Assm!K27)</f>
        <v>Included In Turnkey</v>
      </c>
      <c r="E29" s="872"/>
      <c r="F29" s="997" t="s">
        <v>981</v>
      </c>
      <c r="G29" s="998" t="n">
        <v>35664</v>
      </c>
      <c r="H29" s="997" t="s">
        <v>982</v>
      </c>
      <c r="I29" s="999" t="s">
        <v>1038</v>
      </c>
    </row>
    <row r="30" customFormat="false" ht="13.5" hidden="false" customHeight="false" outlineLevel="0" collapsed="false">
      <c r="A30" s="39"/>
      <c r="B30" s="39"/>
      <c r="C30" s="39"/>
      <c r="F30" s="39"/>
      <c r="G30" s="39"/>
      <c r="H30" s="39"/>
      <c r="I30" s="39"/>
    </row>
    <row r="31" customFormat="false" ht="12.75" hidden="false" customHeight="false" outlineLevel="0" collapsed="false">
      <c r="A31" s="1001" t="str">
        <f aca="false">Assm!H29</f>
        <v>Sudam Tax Credits</v>
      </c>
      <c r="B31" s="1064" t="s">
        <v>144</v>
      </c>
      <c r="C31" s="1065" t="n">
        <v>1</v>
      </c>
      <c r="D31" s="1066"/>
      <c r="E31" s="1066"/>
      <c r="F31" s="1067"/>
      <c r="G31" s="1067"/>
      <c r="H31" s="1067"/>
      <c r="I31" s="1068"/>
    </row>
    <row r="32" customFormat="false" ht="12.75" hidden="false" customHeight="false" outlineLevel="0" collapsed="false">
      <c r="A32" s="1003"/>
      <c r="B32" s="1069" t="str">
        <f aca="false">Assm!H30</f>
        <v>Credits Held In A Reserve (Non Distributable As Dividends, Only As Trapped Cash Loans)</v>
      </c>
      <c r="C32" s="182"/>
      <c r="D32" s="1070"/>
      <c r="E32" s="1070"/>
      <c r="F32" s="1071" t="s">
        <v>1039</v>
      </c>
      <c r="G32" s="1006" t="n">
        <v>36061</v>
      </c>
      <c r="H32" s="1071" t="s">
        <v>1022</v>
      </c>
      <c r="I32" s="1072"/>
    </row>
    <row r="33" customFormat="false" ht="12.75" hidden="false" customHeight="false" outlineLevel="0" collapsed="false">
      <c r="A33" s="1003"/>
      <c r="B33" s="1069" t="str">
        <f aca="false">Assm!H31</f>
        <v>Reserve Can Be Used Against Net Losses (Forward &amp; Backward)</v>
      </c>
      <c r="C33" s="182"/>
      <c r="D33" s="1070"/>
      <c r="E33" s="1070"/>
      <c r="F33" s="1071" t="s">
        <v>1039</v>
      </c>
      <c r="G33" s="1006" t="n">
        <v>36061</v>
      </c>
      <c r="H33" s="1071" t="s">
        <v>1022</v>
      </c>
      <c r="I33" s="1072"/>
    </row>
    <row r="34" customFormat="false" ht="12.75" hidden="false" customHeight="false" outlineLevel="0" collapsed="false">
      <c r="A34" s="1003"/>
      <c r="B34" s="1069" t="str">
        <f aca="false">Assm!H32</f>
        <v>Credit Available = Tax Rate X Operating Income Reduced By Below %</v>
      </c>
      <c r="C34" s="182"/>
      <c r="D34" s="1070"/>
      <c r="E34" s="1070"/>
      <c r="F34" s="1071" t="s">
        <v>1039</v>
      </c>
      <c r="G34" s="1006" t="n">
        <v>36061</v>
      </c>
      <c r="H34" s="1071" t="s">
        <v>1022</v>
      </c>
      <c r="I34" s="1072"/>
    </row>
    <row r="35" customFormat="false" ht="12.75" hidden="false" customHeight="false" outlineLevel="0" collapsed="false">
      <c r="A35" s="1003"/>
      <c r="B35" s="1069" t="str">
        <f aca="false">Assm!H33</f>
        <v>Final Year Of Tax Credits ==&gt;</v>
      </c>
      <c r="C35" s="717" t="n">
        <f aca="false">Assm!I33</f>
        <v>2013</v>
      </c>
      <c r="D35" s="1070"/>
      <c r="E35" s="1070"/>
      <c r="F35" s="1071" t="s">
        <v>1039</v>
      </c>
      <c r="G35" s="1006" t="n">
        <v>36061</v>
      </c>
      <c r="H35" s="1071" t="s">
        <v>1022</v>
      </c>
      <c r="I35" s="1072"/>
    </row>
    <row r="36" customFormat="false" ht="12.75" hidden="false" customHeight="false" outlineLevel="0" collapsed="false">
      <c r="A36" s="1003"/>
      <c r="B36" s="719" t="str">
        <f aca="false">Assm!H35</f>
        <v>Tax Period Starting In Year</v>
      </c>
      <c r="C36" s="1073" t="n">
        <f aca="false">Assm!I35</f>
        <v>1998</v>
      </c>
      <c r="D36" s="632" t="n">
        <f aca="false">Assm!J35</f>
        <v>2004</v>
      </c>
      <c r="E36" s="632" t="n">
        <f aca="false">Assm!K35</f>
        <v>2009</v>
      </c>
      <c r="F36" s="1071" t="s">
        <v>1039</v>
      </c>
      <c r="G36" s="1006" t="n">
        <v>36061</v>
      </c>
      <c r="H36" s="1071" t="s">
        <v>1022</v>
      </c>
      <c r="I36" s="1072"/>
    </row>
    <row r="37" customFormat="false" ht="13.5" hidden="false" customHeight="false" outlineLevel="0" collapsed="false">
      <c r="A37" s="1061"/>
      <c r="B37" s="873" t="str">
        <f aca="false">Assm!H36</f>
        <v>Tax Credit Rate Applicable</v>
      </c>
      <c r="C37" s="1074" t="n">
        <f aca="false">Assm!I36</f>
        <v>0.375</v>
      </c>
      <c r="D37" s="1075" t="n">
        <f aca="false">Assm!J36</f>
        <v>0.25</v>
      </c>
      <c r="E37" s="1075" t="n">
        <f aca="false">Assm!K36</f>
        <v>0.125</v>
      </c>
      <c r="F37" s="1076" t="s">
        <v>1039</v>
      </c>
      <c r="G37" s="998" t="n">
        <v>36061</v>
      </c>
      <c r="H37" s="1076" t="s">
        <v>1022</v>
      </c>
      <c r="I37" s="1077"/>
    </row>
    <row r="38" customFormat="false" ht="13.5" hidden="false" customHeight="false" outlineLevel="0" collapsed="false">
      <c r="A38" s="39"/>
      <c r="B38" s="39"/>
      <c r="C38" s="39"/>
      <c r="D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</row>
    <row r="39" customFormat="false" ht="12.75" hidden="false" customHeight="false" outlineLevel="0" collapsed="false">
      <c r="A39" s="1001" t="str">
        <f aca="false">Assm!H38</f>
        <v>US Taxes</v>
      </c>
      <c r="B39" s="992" t="str">
        <f aca="false">Assm!H39</f>
        <v>Tax Position</v>
      </c>
      <c r="C39" s="1078" t="str">
        <f aca="false">Assm!J39</f>
        <v>Deferral</v>
      </c>
      <c r="D39" s="1078"/>
      <c r="E39" s="1078"/>
      <c r="F39" s="993" t="s">
        <v>1040</v>
      </c>
      <c r="G39" s="994" t="n">
        <v>36004</v>
      </c>
      <c r="H39" s="993" t="s">
        <v>982</v>
      </c>
      <c r="I39" s="995"/>
    </row>
    <row r="40" customFormat="false" ht="13.5" hidden="false" customHeight="false" outlineLevel="0" collapsed="false">
      <c r="A40" s="1014"/>
      <c r="B40" s="996" t="str">
        <f aca="false">Assm!H40</f>
        <v>Federal Income Tax</v>
      </c>
      <c r="C40" s="1079" t="n">
        <f aca="false">Assm!J40</f>
        <v>0.37</v>
      </c>
      <c r="D40" s="1079"/>
      <c r="E40" s="1079"/>
      <c r="F40" s="997" t="s">
        <v>1041</v>
      </c>
      <c r="G40" s="998"/>
      <c r="H40" s="997"/>
      <c r="I40" s="999"/>
    </row>
    <row r="41" customFormat="false" ht="13.5" hidden="false" customHeight="false" outlineLevel="0" collapsed="false">
      <c r="A41" s="39"/>
      <c r="B41" s="39"/>
      <c r="C41" s="39"/>
      <c r="D41" s="39"/>
      <c r="F41" s="39"/>
      <c r="G41" s="39"/>
      <c r="H41" s="39"/>
      <c r="I41" s="39"/>
    </row>
    <row r="42" customFormat="false" ht="12.75" hidden="false" customHeight="false" outlineLevel="0" collapsed="false">
      <c r="A42" s="1001" t="str">
        <f aca="false">Assm!H42</f>
        <v>Depreciation Assumptions</v>
      </c>
      <c r="B42" s="992"/>
      <c r="C42" s="1080" t="s">
        <v>1042</v>
      </c>
      <c r="D42" s="1018" t="s">
        <v>186</v>
      </c>
      <c r="E42" s="1019" t="s">
        <v>1043</v>
      </c>
      <c r="F42" s="993"/>
      <c r="G42" s="994"/>
      <c r="H42" s="993"/>
      <c r="I42" s="995"/>
    </row>
    <row r="43" customFormat="false" ht="12.75" hidden="false" customHeight="false" outlineLevel="0" collapsed="false">
      <c r="A43" s="1008"/>
      <c r="B43" s="1021" t="str">
        <f aca="false">Assm!H44</f>
        <v>Tax</v>
      </c>
      <c r="C43" s="1081" t="n">
        <f aca="false">Assm!J44</f>
        <v>126412.004643692</v>
      </c>
      <c r="D43" s="155" t="str">
        <f aca="false">Assm!L44</f>
        <v>S/L</v>
      </c>
      <c r="E43" s="1082" t="n">
        <f aca="false">Assm!K44</f>
        <v>20</v>
      </c>
      <c r="F43" s="1005" t="s">
        <v>1021</v>
      </c>
      <c r="G43" s="1006" t="n">
        <v>35993</v>
      </c>
      <c r="H43" s="1005" t="s">
        <v>1022</v>
      </c>
      <c r="I43" s="1007" t="s">
        <v>1044</v>
      </c>
    </row>
    <row r="44" customFormat="false" ht="12.75" hidden="false" customHeight="false" outlineLevel="0" collapsed="false">
      <c r="A44" s="1008"/>
      <c r="B44" s="1021" t="str">
        <f aca="false">Assm!H45</f>
        <v>Book</v>
      </c>
      <c r="C44" s="1083" t="n">
        <f aca="false">Assm!J45</f>
        <v>126412.004643692</v>
      </c>
      <c r="D44" s="155" t="str">
        <f aca="false">Assm!L45</f>
        <v>S/L</v>
      </c>
      <c r="E44" s="1082" t="n">
        <f aca="false">Assm!K45</f>
        <v>20</v>
      </c>
      <c r="F44" s="1005" t="s">
        <v>1045</v>
      </c>
      <c r="G44" s="1006"/>
      <c r="H44" s="1005"/>
      <c r="I44" s="1007"/>
    </row>
    <row r="45" customFormat="false" ht="13.5" hidden="false" customHeight="false" outlineLevel="0" collapsed="false">
      <c r="A45" s="1014"/>
      <c r="B45" s="996" t="str">
        <f aca="false">Assm!H46</f>
        <v>GAAP</v>
      </c>
      <c r="C45" s="165" t="n">
        <f aca="false">Assm!J46</f>
        <v>126412.004643692</v>
      </c>
      <c r="D45" s="1084" t="str">
        <f aca="false">Assm!L46</f>
        <v>S/L</v>
      </c>
      <c r="E45" s="1085" t="n">
        <f aca="false">Assm!K46</f>
        <v>20</v>
      </c>
      <c r="F45" s="997" t="s">
        <v>1045</v>
      </c>
      <c r="G45" s="998"/>
      <c r="H45" s="997"/>
      <c r="I45" s="999"/>
    </row>
    <row r="46" customFormat="false" ht="13.5" hidden="false" customHeight="false" outlineLevel="0" collapsed="false">
      <c r="A46" s="39"/>
      <c r="B46" s="39"/>
      <c r="C46" s="39"/>
      <c r="D46" s="39"/>
      <c r="F46" s="39"/>
      <c r="G46" s="39"/>
      <c r="H46" s="712"/>
      <c r="I46" s="39"/>
    </row>
    <row r="47" customFormat="false" ht="12.75" hidden="false" customHeight="false" outlineLevel="0" collapsed="false">
      <c r="A47" s="1001" t="str">
        <f aca="false">Assm!H48</f>
        <v>Trapped Cash</v>
      </c>
      <c r="B47" s="992" t="str">
        <f aca="false">Assm!H49</f>
        <v>Distributions Limited To Retained Earnings</v>
      </c>
      <c r="C47" s="1086"/>
      <c r="D47" s="636"/>
      <c r="E47" s="1087"/>
      <c r="F47" s="993"/>
      <c r="G47" s="994"/>
      <c r="H47" s="993"/>
      <c r="I47" s="1020"/>
    </row>
    <row r="48" customFormat="false" ht="12.75" hidden="false" customHeight="false" outlineLevel="0" collapsed="false">
      <c r="A48" s="37"/>
      <c r="B48" s="1021" t="str">
        <f aca="false">Assm!H54</f>
        <v>Interest Income To Project On Trapped Cash Loans</v>
      </c>
      <c r="C48" s="701"/>
      <c r="D48" s="458" t="n">
        <f aca="false">Assm!L54</f>
        <v>0.05</v>
      </c>
      <c r="E48" s="718"/>
      <c r="F48" s="1005" t="s">
        <v>1040</v>
      </c>
      <c r="G48" s="1006" t="n">
        <v>36004</v>
      </c>
      <c r="H48" s="1005" t="s">
        <v>982</v>
      </c>
      <c r="I48" s="106" t="s">
        <v>1046</v>
      </c>
    </row>
    <row r="49" customFormat="false" ht="13.5" hidden="false" customHeight="false" outlineLevel="0" collapsed="false">
      <c r="A49" s="49"/>
      <c r="B49" s="996" t="str">
        <f aca="false">Assm!H55</f>
        <v>Interest Expense To Shareholders On Trapped Cash Loans</v>
      </c>
      <c r="C49" s="1088"/>
      <c r="D49" s="1089" t="n">
        <f aca="false">Assm!L55</f>
        <v>0.06</v>
      </c>
      <c r="E49" s="1090"/>
      <c r="F49" s="997" t="s">
        <v>1040</v>
      </c>
      <c r="G49" s="998" t="n">
        <v>36004</v>
      </c>
      <c r="H49" s="997" t="s">
        <v>982</v>
      </c>
      <c r="I49" s="1047" t="s">
        <v>1046</v>
      </c>
    </row>
    <row r="50" customFormat="false" ht="13.5" hidden="false" customHeight="false" outlineLevel="0" collapsed="false">
      <c r="A50" s="39"/>
      <c r="B50" s="32"/>
      <c r="C50" s="39"/>
      <c r="D50" s="345"/>
      <c r="E50" s="345"/>
      <c r="F50" s="39"/>
      <c r="G50" s="1091"/>
      <c r="H50" s="39"/>
      <c r="I50" s="39"/>
    </row>
    <row r="51" customFormat="false" ht="13.5" hidden="false" customHeight="false" outlineLevel="0" collapsed="false">
      <c r="A51" s="1092" t="str">
        <f aca="false">Assm!H57</f>
        <v>Exchange Rate</v>
      </c>
      <c r="B51" s="1093"/>
      <c r="C51" s="1094" t="n">
        <f aca="false">Assm!L57</f>
        <v>1.065</v>
      </c>
      <c r="D51" s="1095" t="s">
        <v>1047</v>
      </c>
      <c r="E51" s="1096"/>
      <c r="F51" s="1097" t="s">
        <v>1048</v>
      </c>
      <c r="G51" s="1098" t="n">
        <v>35551</v>
      </c>
      <c r="H51" s="1097" t="s">
        <v>1048</v>
      </c>
      <c r="I51" s="1099"/>
    </row>
    <row r="52" customFormat="false" ht="13.5" hidden="false" customHeight="false" outlineLevel="0" collapsed="false"/>
    <row r="53" customFormat="false" ht="12.75" hidden="false" customHeight="false" outlineLevel="0" collapsed="false">
      <c r="A53" s="1001" t="str">
        <f aca="false">Assm!H63</f>
        <v>Interest On Net Equity (INE)</v>
      </c>
      <c r="B53" s="822" t="str">
        <f aca="false">Assm!H64</f>
        <v>Limited To The Lesser Of</v>
      </c>
      <c r="C53" s="1100" t="n">
        <f aca="false">Assm!I64</f>
        <v>0.5</v>
      </c>
      <c r="D53" s="26" t="str">
        <f aca="false">Assm!J64</f>
        <v>Of Earnings Before Taxes</v>
      </c>
      <c r="E53" s="820"/>
      <c r="F53" s="993" t="s">
        <v>1021</v>
      </c>
      <c r="G53" s="994" t="n">
        <v>35579</v>
      </c>
      <c r="H53" s="1101" t="s">
        <v>1022</v>
      </c>
      <c r="I53" s="1020" t="s">
        <v>1049</v>
      </c>
    </row>
    <row r="54" customFormat="false" ht="13.5" hidden="false" customHeight="false" outlineLevel="0" collapsed="false">
      <c r="A54" s="1014"/>
      <c r="B54" s="873"/>
      <c r="C54" s="1102" t="n">
        <f aca="false">Assm!I65</f>
        <v>0.1</v>
      </c>
      <c r="D54" s="22" t="str">
        <f aca="false">Assm!J65</f>
        <v>Of Total Equity For Life Of Project (TJLP)</v>
      </c>
      <c r="E54" s="1103"/>
      <c r="F54" s="997" t="s">
        <v>1021</v>
      </c>
      <c r="G54" s="998" t="n">
        <v>35579</v>
      </c>
      <c r="H54" s="1104" t="s">
        <v>1022</v>
      </c>
      <c r="I54" s="1047" t="s">
        <v>1049</v>
      </c>
    </row>
    <row r="55" customFormat="false" ht="13.5" hidden="false" customHeight="false" outlineLevel="0" collapsed="false"/>
    <row r="56" customFormat="false" ht="12.75" hidden="false" customHeight="false" outlineLevel="0" collapsed="false">
      <c r="A56" s="1001" t="str">
        <f aca="false">Assm!H77</f>
        <v>Political Risk Insurance</v>
      </c>
      <c r="B56" s="1105" t="str">
        <f aca="false">Assm!J78</f>
        <v>Partner Level Only</v>
      </c>
      <c r="C56" s="822"/>
      <c r="D56" s="26"/>
      <c r="E56" s="820"/>
      <c r="F56" s="993"/>
      <c r="G56" s="994"/>
      <c r="H56" s="993"/>
      <c r="I56" s="1020"/>
    </row>
    <row r="57" customFormat="false" ht="13.5" hidden="false" customHeight="false" outlineLevel="0" collapsed="false">
      <c r="A57" s="1014"/>
      <c r="B57" s="996" t="str">
        <f aca="false">Assm!H78</f>
        <v>Book Earnings Method</v>
      </c>
      <c r="C57" s="1106" t="n">
        <f aca="false">Opic</f>
        <v>0.01</v>
      </c>
      <c r="D57" s="130"/>
      <c r="E57" s="1103"/>
      <c r="F57" s="997" t="s">
        <v>1050</v>
      </c>
      <c r="G57" s="998" t="n">
        <v>36084</v>
      </c>
      <c r="H57" s="997" t="s">
        <v>1051</v>
      </c>
      <c r="I57" s="1047" t="s">
        <v>1052</v>
      </c>
    </row>
  </sheetData>
  <mergeCells count="4">
    <mergeCell ref="C7:E7"/>
    <mergeCell ref="C8:E8"/>
    <mergeCell ref="C39:E39"/>
    <mergeCell ref="C40:E40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3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16"/>
      <c r="D1" s="351"/>
      <c r="E1" s="351"/>
      <c r="F1" s="469"/>
      <c r="G1" s="15"/>
      <c r="H1" s="469"/>
      <c r="I1" s="469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16"/>
      <c r="D2" s="351"/>
      <c r="E2" s="351"/>
      <c r="F2" s="469"/>
      <c r="G2" s="15"/>
      <c r="H2" s="469"/>
      <c r="I2" s="469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356"/>
      <c r="F3" s="469"/>
      <c r="G3" s="15"/>
      <c r="H3" s="469"/>
      <c r="I3" s="47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1053</v>
      </c>
      <c r="B4" s="885"/>
      <c r="C4" s="116"/>
      <c r="D4" s="885"/>
      <c r="E4" s="885"/>
      <c r="F4" s="469"/>
      <c r="G4" s="15"/>
      <c r="H4" s="469"/>
      <c r="I4" s="47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980"/>
      <c r="B6" s="821"/>
      <c r="C6" s="981"/>
      <c r="D6" s="982"/>
      <c r="E6" s="983"/>
      <c r="F6" s="821"/>
      <c r="G6" s="821"/>
      <c r="H6" s="821" t="s">
        <v>967</v>
      </c>
      <c r="I6" s="984"/>
    </row>
    <row r="7" customFormat="false" ht="12.75" hidden="false" customHeight="false" outlineLevel="0" collapsed="false">
      <c r="A7" s="985"/>
      <c r="B7" s="921"/>
      <c r="C7" s="921" t="s">
        <v>1018</v>
      </c>
      <c r="D7" s="921"/>
      <c r="E7" s="921"/>
      <c r="F7" s="921"/>
      <c r="G7" s="921" t="s">
        <v>968</v>
      </c>
      <c r="H7" s="921" t="s">
        <v>1019</v>
      </c>
      <c r="I7" s="987"/>
    </row>
    <row r="8" customFormat="false" ht="13.5" hidden="false" customHeight="false" outlineLevel="0" collapsed="false">
      <c r="A8" s="988" t="s">
        <v>970</v>
      </c>
      <c r="B8" s="990" t="s">
        <v>971</v>
      </c>
      <c r="C8" s="990" t="s">
        <v>1020</v>
      </c>
      <c r="D8" s="990"/>
      <c r="E8" s="990"/>
      <c r="F8" s="990" t="s">
        <v>973</v>
      </c>
      <c r="G8" s="990" t="s">
        <v>974</v>
      </c>
      <c r="H8" s="990" t="s">
        <v>975</v>
      </c>
      <c r="I8" s="991" t="s">
        <v>976</v>
      </c>
    </row>
    <row r="9" customFormat="false" ht="13.5" hidden="false" customHeight="false" outlineLevel="0" collapsed="false">
      <c r="A9" s="39"/>
      <c r="B9" s="38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01" t="str">
        <f aca="false">Assm!N6</f>
        <v>Project Costs ($000)</v>
      </c>
      <c r="B10" s="1033" t="s">
        <v>1000</v>
      </c>
      <c r="C10" s="1107" t="str">
        <f aca="false">Assm!R6</f>
        <v>Total</v>
      </c>
      <c r="D10" s="35"/>
      <c r="E10" s="1108"/>
      <c r="F10" s="993"/>
      <c r="G10" s="994"/>
      <c r="H10" s="993"/>
      <c r="I10" s="995"/>
    </row>
    <row r="11" customFormat="false" ht="12.75" hidden="false" customHeight="false" outlineLevel="0" collapsed="false">
      <c r="A11" s="1003"/>
      <c r="B11" s="1021" t="str">
        <f aca="false">Assm!N7</f>
        <v>EPC Turnkey Contract</v>
      </c>
      <c r="C11" s="849" t="n">
        <f aca="false">Assm!R7</f>
        <v>66413.135</v>
      </c>
      <c r="D11" s="1045"/>
      <c r="E11" s="825"/>
      <c r="F11" s="1005" t="s">
        <v>1054</v>
      </c>
      <c r="G11" s="1006" t="n">
        <v>35664</v>
      </c>
      <c r="H11" s="1005" t="s">
        <v>982</v>
      </c>
      <c r="I11" s="1007" t="s">
        <v>1055</v>
      </c>
    </row>
    <row r="12" customFormat="false" ht="12.75" hidden="false" customHeight="false" outlineLevel="0" collapsed="false">
      <c r="A12" s="1008"/>
      <c r="B12" s="1021" t="str">
        <f aca="false">Assm!N8</f>
        <v>Approved Change Orders</v>
      </c>
      <c r="C12" s="849" t="n">
        <f aca="false">Assm!R8</f>
        <v>5631.945</v>
      </c>
      <c r="D12" s="1045"/>
      <c r="E12" s="825"/>
      <c r="F12" s="1005" t="s">
        <v>1056</v>
      </c>
      <c r="G12" s="1006" t="n">
        <v>36209</v>
      </c>
      <c r="H12" s="1005" t="s">
        <v>1057</v>
      </c>
      <c r="I12" s="1007" t="s">
        <v>1058</v>
      </c>
    </row>
    <row r="13" customFormat="false" ht="12.75" hidden="false" customHeight="false" outlineLevel="0" collapsed="false">
      <c r="A13" s="1008"/>
      <c r="B13" s="1021" t="str">
        <f aca="false">Assm!N9</f>
        <v>Pending Change Orders</v>
      </c>
      <c r="C13" s="849" t="n">
        <f aca="false">Assm!R9</f>
        <v>200.444</v>
      </c>
      <c r="D13" s="1045"/>
      <c r="E13" s="825"/>
      <c r="F13" s="1005" t="s">
        <v>1059</v>
      </c>
      <c r="G13" s="1006" t="n">
        <v>36407</v>
      </c>
      <c r="H13" s="1005" t="s">
        <v>1060</v>
      </c>
      <c r="I13" s="1007" t="s">
        <v>1061</v>
      </c>
    </row>
    <row r="14" customFormat="false" ht="12.75" hidden="false" customHeight="false" outlineLevel="0" collapsed="false">
      <c r="A14" s="1008"/>
      <c r="B14" s="1021" t="str">
        <f aca="false">Assm!N10</f>
        <v>Other Change Orders</v>
      </c>
      <c r="C14" s="849" t="n">
        <f aca="false">Assm!R10</f>
        <v>16999</v>
      </c>
      <c r="D14" s="1045"/>
      <c r="E14" s="825"/>
      <c r="F14" s="1005" t="s">
        <v>1062</v>
      </c>
      <c r="G14" s="1006" t="n">
        <v>36297</v>
      </c>
      <c r="H14" s="1005" t="s">
        <v>1063</v>
      </c>
      <c r="I14" s="1007" t="s">
        <v>1064</v>
      </c>
    </row>
    <row r="15" customFormat="false" ht="12.75" hidden="false" customHeight="false" outlineLevel="0" collapsed="false">
      <c r="A15" s="1008"/>
      <c r="B15" s="1021" t="str">
        <f aca="false">Assm!N12</f>
        <v>Turnkey Tax Adjustment (0=Off, 1=On)</v>
      </c>
      <c r="C15" s="1109" t="n">
        <f aca="false">Assm!R12</f>
        <v>1136.78274194118</v>
      </c>
      <c r="D15" s="1045"/>
      <c r="E15" s="825"/>
      <c r="F15" s="1005" t="s">
        <v>1054</v>
      </c>
      <c r="G15" s="1006" t="n">
        <v>35664</v>
      </c>
      <c r="H15" s="1005" t="s">
        <v>982</v>
      </c>
      <c r="I15" s="1007" t="s">
        <v>1065</v>
      </c>
    </row>
    <row r="16" customFormat="false" ht="12.75" hidden="false" customHeight="false" outlineLevel="0" collapsed="false">
      <c r="A16" s="1008"/>
      <c r="B16" s="1110" t="str">
        <f aca="false">Assm!N13</f>
        <v>Total Turnkey Construction</v>
      </c>
      <c r="C16" s="1111" t="n">
        <f aca="false">Assm!R13</f>
        <v>90202.1577419412</v>
      </c>
      <c r="D16" s="295"/>
      <c r="E16" s="1112"/>
      <c r="F16" s="1005"/>
      <c r="G16" s="1006"/>
      <c r="H16" s="1005"/>
      <c r="I16" s="1007"/>
    </row>
    <row r="17" customFormat="false" ht="12.75" hidden="false" customHeight="false" outlineLevel="0" collapsed="false">
      <c r="A17" s="1008"/>
      <c r="B17" s="1110"/>
      <c r="C17" s="1111"/>
      <c r="D17" s="295"/>
      <c r="E17" s="1112"/>
      <c r="F17" s="1005"/>
      <c r="G17" s="1006"/>
      <c r="H17" s="1005"/>
      <c r="I17" s="1007"/>
    </row>
    <row r="18" customFormat="false" ht="12.75" hidden="false" customHeight="false" outlineLevel="0" collapsed="false">
      <c r="A18" s="1008"/>
      <c r="B18" s="1021" t="str">
        <f aca="false">Assm!N15</f>
        <v>Linefill</v>
      </c>
      <c r="C18" s="849" t="n">
        <f aca="false">Assm!R15</f>
        <v>146</v>
      </c>
      <c r="D18" s="1045"/>
      <c r="E18" s="825"/>
      <c r="F18" s="1005" t="s">
        <v>1066</v>
      </c>
      <c r="G18" s="1006" t="n">
        <v>36294</v>
      </c>
      <c r="H18" s="1005" t="s">
        <v>1067</v>
      </c>
      <c r="I18" s="1007" t="s">
        <v>1068</v>
      </c>
    </row>
    <row r="19" customFormat="false" ht="12.75" hidden="false" customHeight="false" outlineLevel="0" collapsed="false">
      <c r="A19" s="1008"/>
      <c r="B19" s="1021" t="str">
        <f aca="false">Assm!N16</f>
        <v>Land &amp; Rights Of Way</v>
      </c>
      <c r="C19" s="849" t="n">
        <f aca="false">Assm!R16</f>
        <v>994</v>
      </c>
      <c r="D19" s="1045"/>
      <c r="E19" s="825"/>
      <c r="F19" s="1005" t="s">
        <v>1066</v>
      </c>
      <c r="G19" s="1006" t="n">
        <v>36294</v>
      </c>
      <c r="H19" s="1005" t="s">
        <v>1067</v>
      </c>
      <c r="I19" s="1007" t="s">
        <v>1068</v>
      </c>
    </row>
    <row r="20" customFormat="false" ht="12.75" hidden="false" customHeight="false" outlineLevel="0" collapsed="false">
      <c r="A20" s="1008"/>
      <c r="B20" s="1021" t="str">
        <f aca="false">Assm!N17</f>
        <v>Consulting Fees</v>
      </c>
      <c r="C20" s="849" t="n">
        <f aca="false">Assm!R17</f>
        <v>556</v>
      </c>
      <c r="D20" s="1045"/>
      <c r="E20" s="825"/>
      <c r="F20" s="1005" t="s">
        <v>1066</v>
      </c>
      <c r="G20" s="1006" t="n">
        <v>36298</v>
      </c>
      <c r="H20" s="1005" t="s">
        <v>1067</v>
      </c>
      <c r="I20" s="1007" t="s">
        <v>1064</v>
      </c>
    </row>
    <row r="21" customFormat="false" ht="12.75" hidden="false" customHeight="false" outlineLevel="0" collapsed="false">
      <c r="A21" s="1008"/>
      <c r="B21" s="1021" t="str">
        <f aca="false">Assm!N18</f>
        <v>Owner's Engineer (Parsons)</v>
      </c>
      <c r="C21" s="849" t="n">
        <f aca="false">Assm!R18</f>
        <v>1850</v>
      </c>
      <c r="D21" s="1045"/>
      <c r="E21" s="825"/>
      <c r="F21" s="1005" t="s">
        <v>1066</v>
      </c>
      <c r="G21" s="1006" t="n">
        <v>36294</v>
      </c>
      <c r="H21" s="1005" t="s">
        <v>1067</v>
      </c>
      <c r="I21" s="1007" t="s">
        <v>1068</v>
      </c>
    </row>
    <row r="22" customFormat="false" ht="12.75" hidden="false" customHeight="false" outlineLevel="0" collapsed="false">
      <c r="A22" s="1008"/>
      <c r="B22" s="1021" t="str">
        <f aca="false">Assm!N19</f>
        <v>Other Engineering Costs</v>
      </c>
      <c r="C22" s="849" t="n">
        <f aca="false">Assm!R19</f>
        <v>26</v>
      </c>
      <c r="D22" s="1045"/>
      <c r="E22" s="825"/>
      <c r="F22" s="1005" t="s">
        <v>1066</v>
      </c>
      <c r="G22" s="1006" t="n">
        <v>36294</v>
      </c>
      <c r="H22" s="1005" t="s">
        <v>1067</v>
      </c>
      <c r="I22" s="1007" t="s">
        <v>1068</v>
      </c>
    </row>
    <row r="23" customFormat="false" ht="12.75" hidden="false" customHeight="false" outlineLevel="0" collapsed="false">
      <c r="A23" s="1008"/>
      <c r="B23" s="1021" t="str">
        <f aca="false">Assm!N20</f>
        <v>Environmental &amp; Permitting</v>
      </c>
      <c r="C23" s="849" t="n">
        <f aca="false">Assm!R20</f>
        <v>7450.98355777778</v>
      </c>
      <c r="D23" s="1045"/>
      <c r="E23" s="825"/>
      <c r="F23" s="1005" t="s">
        <v>1066</v>
      </c>
      <c r="G23" s="1006" t="n">
        <v>36403</v>
      </c>
      <c r="H23" s="1005" t="s">
        <v>1067</v>
      </c>
      <c r="I23" s="1007" t="s">
        <v>1069</v>
      </c>
    </row>
    <row r="24" customFormat="false" ht="12.75" hidden="false" customHeight="false" outlineLevel="0" collapsed="false">
      <c r="A24" s="1008"/>
      <c r="B24" s="1021" t="str">
        <f aca="false">Assm!N21</f>
        <v>Ingidenous People Programs</v>
      </c>
      <c r="C24" s="1109" t="n">
        <f aca="false">Assm!R21</f>
        <v>988.825381111111</v>
      </c>
      <c r="D24" s="1045"/>
      <c r="E24" s="825"/>
      <c r="F24" s="1005" t="s">
        <v>1070</v>
      </c>
      <c r="G24" s="1006" t="n">
        <v>36390</v>
      </c>
      <c r="H24" s="1005" t="s">
        <v>1071</v>
      </c>
      <c r="I24" s="1007" t="s">
        <v>1072</v>
      </c>
    </row>
    <row r="25" customFormat="false" ht="12.75" hidden="false" customHeight="false" outlineLevel="0" collapsed="false">
      <c r="A25" s="1008"/>
      <c r="B25" s="1110" t="str">
        <f aca="false">Assm!N22</f>
        <v>Total Other Construction</v>
      </c>
      <c r="C25" s="1111" t="n">
        <f aca="false">Assm!R22</f>
        <v>12011.8089388889</v>
      </c>
      <c r="D25" s="1045"/>
      <c r="E25" s="825"/>
      <c r="F25" s="1005"/>
      <c r="G25" s="1006"/>
      <c r="H25" s="1005"/>
      <c r="I25" s="1007"/>
    </row>
    <row r="26" customFormat="false" ht="12.75" hidden="false" customHeight="false" outlineLevel="0" collapsed="false">
      <c r="A26" s="1008"/>
      <c r="B26" s="1110"/>
      <c r="C26" s="1111"/>
      <c r="D26" s="295"/>
      <c r="E26" s="1112"/>
      <c r="F26" s="1005"/>
      <c r="G26" s="1006"/>
      <c r="H26" s="1005"/>
      <c r="I26" s="1007"/>
    </row>
    <row r="27" customFormat="false" ht="12.75" hidden="false" customHeight="false" outlineLevel="0" collapsed="false">
      <c r="A27" s="1008"/>
      <c r="B27" s="1021" t="str">
        <f aca="false">Assm!N24</f>
        <v>Interest During Construction "IDC" </v>
      </c>
      <c r="C27" s="849" t="n">
        <f aca="false">Assm!R24</f>
        <v>7359.65737927269</v>
      </c>
      <c r="D27" s="1045"/>
      <c r="E27" s="825"/>
      <c r="F27" s="1005" t="s">
        <v>987</v>
      </c>
      <c r="G27" s="1006"/>
      <c r="H27" s="1005"/>
      <c r="I27" s="1007"/>
    </row>
    <row r="28" customFormat="false" ht="12.75" hidden="false" customHeight="false" outlineLevel="0" collapsed="false">
      <c r="A28" s="1008"/>
      <c r="B28" s="1021" t="str">
        <f aca="false">Assm!N25</f>
        <v>W/H Tax - IDC (Shareholder Construction Loan)</v>
      </c>
      <c r="C28" s="849" t="n">
        <f aca="false">Assm!R25</f>
        <v>628.255538313182</v>
      </c>
      <c r="D28" s="1045"/>
      <c r="E28" s="825"/>
      <c r="F28" s="1005" t="s">
        <v>987</v>
      </c>
      <c r="G28" s="1006"/>
      <c r="H28" s="1005"/>
      <c r="I28" s="1007"/>
    </row>
    <row r="29" customFormat="false" ht="12.75" hidden="false" customHeight="false" outlineLevel="0" collapsed="false">
      <c r="A29" s="1008"/>
      <c r="B29" s="1021" t="str">
        <f aca="false">Assm!N26</f>
        <v>Commitment Fee</v>
      </c>
      <c r="C29" s="849" t="n">
        <f aca="false">Assm!R26</f>
        <v>12.5631028832684</v>
      </c>
      <c r="D29" s="1045"/>
      <c r="E29" s="825"/>
      <c r="F29" s="1005" t="s">
        <v>987</v>
      </c>
      <c r="G29" s="1006"/>
      <c r="H29" s="1005"/>
      <c r="I29" s="1007"/>
    </row>
    <row r="30" customFormat="false" ht="12.75" hidden="false" customHeight="false" outlineLevel="0" collapsed="false">
      <c r="A30" s="1008"/>
      <c r="B30" s="1021" t="str">
        <f aca="false">Assm!N27</f>
        <v>Upfront Fee</v>
      </c>
      <c r="C30" s="849" t="n">
        <f aca="false">Assm!R27</f>
        <v>1139.02204179323</v>
      </c>
      <c r="D30" s="1045"/>
      <c r="E30" s="825"/>
      <c r="F30" s="1005" t="s">
        <v>987</v>
      </c>
      <c r="G30" s="1006"/>
      <c r="H30" s="1005"/>
      <c r="I30" s="1007"/>
    </row>
    <row r="31" customFormat="false" ht="12.75" hidden="false" customHeight="false" outlineLevel="0" collapsed="false">
      <c r="A31" s="1008"/>
      <c r="B31" s="1021" t="str">
        <f aca="false">Assm!N28</f>
        <v>Financing Costs (Borrower And Lender)</v>
      </c>
      <c r="C31" s="849" t="n">
        <f aca="false">Assm!R28</f>
        <v>2831.325</v>
      </c>
      <c r="D31" s="1045"/>
      <c r="E31" s="825"/>
      <c r="F31" s="1005" t="s">
        <v>1066</v>
      </c>
      <c r="G31" s="1006" t="n">
        <v>36298</v>
      </c>
      <c r="H31" s="1005" t="s">
        <v>1067</v>
      </c>
      <c r="I31" s="1007" t="s">
        <v>1064</v>
      </c>
    </row>
    <row r="32" customFormat="false" ht="12.75" hidden="false" customHeight="false" outlineLevel="0" collapsed="false">
      <c r="A32" s="1008"/>
      <c r="B32" s="1021" t="str">
        <f aca="false">Assm!N29</f>
        <v>Financing Costs (Other)</v>
      </c>
      <c r="C32" s="849" t="n">
        <f aca="false">Assm!R29</f>
        <v>0</v>
      </c>
      <c r="D32" s="1045"/>
      <c r="E32" s="825"/>
      <c r="F32" s="1005" t="s">
        <v>1066</v>
      </c>
      <c r="G32" s="1006" t="n">
        <v>36298</v>
      </c>
      <c r="H32" s="1005" t="s">
        <v>1067</v>
      </c>
      <c r="I32" s="1007" t="s">
        <v>1064</v>
      </c>
    </row>
    <row r="33" customFormat="false" ht="12.75" hidden="false" customHeight="false" outlineLevel="0" collapsed="false">
      <c r="A33" s="1008"/>
      <c r="B33" s="1021" t="str">
        <f aca="false">Assm!N30</f>
        <v>3rd Party Legal Fees</v>
      </c>
      <c r="C33" s="849" t="n">
        <f aca="false">Assm!R30</f>
        <v>2182.275</v>
      </c>
      <c r="D33" s="1045"/>
      <c r="E33" s="825"/>
      <c r="F33" s="1005" t="s">
        <v>1066</v>
      </c>
      <c r="G33" s="1006" t="n">
        <v>36403</v>
      </c>
      <c r="H33" s="1005" t="s">
        <v>1067</v>
      </c>
      <c r="I33" s="1007" t="s">
        <v>1069</v>
      </c>
    </row>
    <row r="34" customFormat="false" ht="12.75" hidden="false" customHeight="false" outlineLevel="0" collapsed="false">
      <c r="A34" s="1008"/>
      <c r="B34" s="1021" t="str">
        <f aca="false">Assm!N31</f>
        <v>Construction Insurance</v>
      </c>
      <c r="C34" s="1109" t="n">
        <f aca="false">Assm!R31</f>
        <v>771.594</v>
      </c>
      <c r="D34" s="1045"/>
      <c r="E34" s="825"/>
      <c r="F34" s="1005" t="s">
        <v>1005</v>
      </c>
      <c r="G34" s="1006" t="n">
        <v>36157</v>
      </c>
      <c r="H34" s="1005" t="s">
        <v>1006</v>
      </c>
      <c r="I34" s="1007" t="s">
        <v>1073</v>
      </c>
    </row>
    <row r="35" customFormat="false" ht="12.75" hidden="false" customHeight="false" outlineLevel="0" collapsed="false">
      <c r="A35" s="1008"/>
      <c r="B35" s="1110" t="str">
        <f aca="false">Assm!N32</f>
        <v>Total 3rd Party Dev / Financing Costs</v>
      </c>
      <c r="C35" s="1111" t="n">
        <f aca="false">Assm!R32</f>
        <v>14924.6920622624</v>
      </c>
      <c r="D35" s="1045"/>
      <c r="E35" s="825"/>
      <c r="F35" s="1005"/>
      <c r="G35" s="1006"/>
      <c r="H35" s="1005"/>
      <c r="I35" s="1007"/>
    </row>
    <row r="36" customFormat="false" ht="12.75" hidden="false" customHeight="false" outlineLevel="0" collapsed="false">
      <c r="A36" s="1008"/>
      <c r="B36" s="1110"/>
      <c r="C36" s="849"/>
      <c r="D36" s="1045"/>
      <c r="E36" s="825"/>
      <c r="F36" s="1005"/>
      <c r="G36" s="1006"/>
      <c r="H36" s="1005"/>
      <c r="I36" s="1007"/>
    </row>
    <row r="37" customFormat="false" ht="12.75" hidden="false" customHeight="false" outlineLevel="0" collapsed="false">
      <c r="A37" s="1008"/>
      <c r="B37" s="1021" t="str">
        <f aca="false">Assm!N34</f>
        <v>Development Costs</v>
      </c>
      <c r="C37" s="849" t="n">
        <f aca="false">Assm!R34</f>
        <v>6259.7994006</v>
      </c>
      <c r="D37" s="1045"/>
      <c r="E37" s="825"/>
      <c r="F37" s="1005" t="s">
        <v>1066</v>
      </c>
      <c r="G37" s="1006" t="n">
        <v>36403</v>
      </c>
      <c r="H37" s="1005" t="s">
        <v>1067</v>
      </c>
      <c r="I37" s="1007" t="s">
        <v>1069</v>
      </c>
    </row>
    <row r="38" customFormat="false" ht="12.75" hidden="false" customHeight="false" outlineLevel="0" collapsed="false">
      <c r="A38" s="1008"/>
      <c r="B38" s="1021" t="str">
        <f aca="false">Assm!N35</f>
        <v>Development Fee</v>
      </c>
      <c r="C38" s="849" t="n">
        <f aca="false">Assm!R35</f>
        <v>0</v>
      </c>
      <c r="D38" s="1045"/>
      <c r="E38" s="825"/>
      <c r="F38" s="1005"/>
      <c r="G38" s="1006"/>
      <c r="H38" s="1005"/>
      <c r="I38" s="1007" t="s">
        <v>1074</v>
      </c>
    </row>
    <row r="39" customFormat="false" ht="12.75" hidden="false" customHeight="false" outlineLevel="0" collapsed="false">
      <c r="A39" s="1008"/>
      <c r="B39" s="1021" t="str">
        <f aca="false">Assm!N36</f>
        <v>Operations Mobilization</v>
      </c>
      <c r="C39" s="1109" t="n">
        <f aca="false">Assm!R36</f>
        <v>872.9</v>
      </c>
      <c r="D39" s="1045"/>
      <c r="E39" s="825"/>
      <c r="F39" s="1005" t="s">
        <v>1066</v>
      </c>
      <c r="G39" s="1006" t="n">
        <v>36294</v>
      </c>
      <c r="H39" s="1005" t="s">
        <v>1067</v>
      </c>
      <c r="I39" s="1007" t="s">
        <v>1068</v>
      </c>
    </row>
    <row r="40" customFormat="false" ht="12.75" hidden="false" customHeight="false" outlineLevel="0" collapsed="false">
      <c r="A40" s="1008"/>
      <c r="B40" s="1110" t="str">
        <f aca="false">Assm!N37</f>
        <v>Total Development Costs / Fees</v>
      </c>
      <c r="C40" s="1111" t="n">
        <f aca="false">Assm!R37</f>
        <v>7132.6994006</v>
      </c>
      <c r="D40" s="1045"/>
      <c r="E40" s="825"/>
      <c r="F40" s="1005"/>
      <c r="G40" s="1006"/>
      <c r="H40" s="1005"/>
      <c r="I40" s="1007"/>
    </row>
    <row r="41" customFormat="false" ht="12.75" hidden="false" customHeight="false" outlineLevel="0" collapsed="false">
      <c r="A41" s="1008"/>
      <c r="B41" s="1021"/>
      <c r="C41" s="849"/>
      <c r="D41" s="1045"/>
      <c r="E41" s="825"/>
      <c r="F41" s="1005"/>
      <c r="G41" s="1006"/>
      <c r="H41" s="1005"/>
      <c r="I41" s="1007"/>
    </row>
    <row r="42" customFormat="false" ht="12.75" hidden="false" customHeight="false" outlineLevel="0" collapsed="false">
      <c r="A42" s="1008"/>
      <c r="B42" s="1021" t="str">
        <f aca="false">Assm!N39</f>
        <v>Working Capital </v>
      </c>
      <c r="C42" s="1109" t="n">
        <f aca="false">Assm!R39</f>
        <v>0</v>
      </c>
      <c r="D42" s="1045"/>
      <c r="E42" s="825"/>
      <c r="F42" s="1005" t="s">
        <v>1075</v>
      </c>
      <c r="G42" s="1006"/>
      <c r="H42" s="1005"/>
      <c r="I42" s="1007"/>
    </row>
    <row r="43" customFormat="false" ht="12.75" hidden="false" customHeight="false" outlineLevel="0" collapsed="false">
      <c r="A43" s="1008"/>
      <c r="B43" s="1110" t="str">
        <f aca="false">Assm!N40</f>
        <v>Total Other Costs</v>
      </c>
      <c r="C43" s="1111" t="n">
        <f aca="false">Assm!R40</f>
        <v>0</v>
      </c>
      <c r="D43" s="1045"/>
      <c r="E43" s="825"/>
      <c r="F43" s="1005"/>
      <c r="G43" s="1006"/>
      <c r="H43" s="1005"/>
      <c r="I43" s="1007"/>
    </row>
    <row r="44" customFormat="false" ht="12.75" hidden="false" customHeight="false" outlineLevel="0" collapsed="false">
      <c r="A44" s="1008"/>
      <c r="B44" s="1110"/>
      <c r="C44" s="849"/>
      <c r="D44" s="295"/>
      <c r="E44" s="1112"/>
      <c r="F44" s="1005"/>
      <c r="G44" s="1006"/>
      <c r="H44" s="1005"/>
      <c r="I44" s="1007"/>
    </row>
    <row r="45" customFormat="false" ht="12.75" hidden="false" customHeight="false" outlineLevel="0" collapsed="false">
      <c r="A45" s="1008"/>
      <c r="B45" s="1021" t="str">
        <f aca="false">Assm!N42</f>
        <v>Contingency - Change Orders</v>
      </c>
      <c r="C45" s="849" t="n">
        <f aca="false">Assm!R42</f>
        <v>2286.6465</v>
      </c>
      <c r="D45" s="1045"/>
      <c r="E45" s="825"/>
      <c r="F45" s="1005" t="s">
        <v>987</v>
      </c>
      <c r="G45" s="1006"/>
      <c r="H45" s="1005"/>
      <c r="I45" s="1007" t="str">
        <f aca="false">CONCATENATE(TEXT(Assm!Q42,"0.00%")," ",Assm!P42)</f>
        <v>0.00% </v>
      </c>
    </row>
    <row r="46" customFormat="false" ht="12.75" hidden="false" customHeight="false" outlineLevel="0" collapsed="false">
      <c r="A46" s="1008"/>
      <c r="B46" s="1021" t="str">
        <f aca="false">Assm!N43</f>
        <v>Contingency</v>
      </c>
      <c r="C46" s="1109" t="n">
        <f aca="false">Assm!R43</f>
        <v>0</v>
      </c>
      <c r="D46" s="1045"/>
      <c r="E46" s="825"/>
      <c r="F46" s="1005" t="s">
        <v>987</v>
      </c>
      <c r="G46" s="1006"/>
      <c r="H46" s="1005"/>
      <c r="I46" s="1007" t="str">
        <f aca="false">CONCATENATE(TEXT(Assm!Q43,"0.00%")," ",Assm!P43)</f>
        <v>0.00% </v>
      </c>
    </row>
    <row r="47" customFormat="false" ht="12.75" hidden="false" customHeight="false" outlineLevel="0" collapsed="false">
      <c r="A47" s="1008"/>
      <c r="B47" s="1110" t="str">
        <f aca="false">Assm!N44</f>
        <v>Total Contingency</v>
      </c>
      <c r="C47" s="1111" t="n">
        <f aca="false">Assm!R44</f>
        <v>2286.6465</v>
      </c>
      <c r="D47" s="1045"/>
      <c r="E47" s="825"/>
      <c r="F47" s="1005"/>
      <c r="G47" s="1006"/>
      <c r="H47" s="1005"/>
      <c r="I47" s="1007"/>
    </row>
    <row r="48" customFormat="false" ht="12.75" hidden="false" customHeight="false" outlineLevel="0" collapsed="false">
      <c r="A48" s="1008"/>
      <c r="B48" s="1110"/>
      <c r="C48" s="849"/>
      <c r="D48" s="295"/>
      <c r="E48" s="1112"/>
      <c r="F48" s="1005"/>
      <c r="G48" s="1006"/>
      <c r="H48" s="1005"/>
      <c r="I48" s="1007"/>
    </row>
    <row r="49" customFormat="false" ht="12.75" hidden="false" customHeight="false" outlineLevel="0" collapsed="false">
      <c r="A49" s="1008"/>
      <c r="B49" s="1110" t="str">
        <f aca="false">Assm!N46</f>
        <v>Total Project Costs</v>
      </c>
      <c r="C49" s="1111" t="n">
        <f aca="false">Assm!R46</f>
        <v>126558.004643692</v>
      </c>
      <c r="D49" s="295"/>
      <c r="E49" s="1112"/>
      <c r="F49" s="1005"/>
      <c r="G49" s="1006"/>
      <c r="H49" s="1005"/>
      <c r="I49" s="1007"/>
    </row>
    <row r="50" customFormat="false" ht="13.5" hidden="false" customHeight="false" outlineLevel="0" collapsed="false">
      <c r="A50" s="1014"/>
      <c r="B50" s="1113" t="str">
        <f aca="false">Assm!N47</f>
        <v>Total Project Costs ($/MCM/Day)</v>
      </c>
      <c r="C50" s="1114" t="n">
        <f aca="false">Assm!R47</f>
        <v>1.22883779632675</v>
      </c>
      <c r="D50" s="290"/>
      <c r="E50" s="1115"/>
      <c r="F50" s="997"/>
      <c r="G50" s="998"/>
      <c r="H50" s="997"/>
      <c r="I50" s="999"/>
    </row>
    <row r="51" customFormat="false" ht="13.5" hidden="false" customHeight="false" outlineLevel="0" collapsed="false"/>
    <row r="52" customFormat="false" ht="12.75" hidden="false" customHeight="false" outlineLevel="0" collapsed="false">
      <c r="A52" s="1001" t="str">
        <f aca="false">Assm!H67</f>
        <v>Project Ownership </v>
      </c>
      <c r="B52" s="992"/>
      <c r="C52" s="1116" t="str">
        <f aca="false">Assm!K67</f>
        <v>Equity %</v>
      </c>
      <c r="D52" s="1117" t="str">
        <f aca="false">Assm!L67</f>
        <v>Cashflow %</v>
      </c>
      <c r="E52" s="1118"/>
      <c r="F52" s="993"/>
      <c r="G52" s="994"/>
      <c r="H52" s="993"/>
      <c r="I52" s="995"/>
    </row>
    <row r="53" customFormat="false" ht="12.75" hidden="false" customHeight="false" outlineLevel="0" collapsed="false">
      <c r="A53" s="1008"/>
      <c r="B53" s="1021" t="str">
        <f aca="false">Assm!H68</f>
        <v>Enron</v>
      </c>
      <c r="C53" s="1119" t="n">
        <f aca="false">Assm!K68</f>
        <v>0.5</v>
      </c>
      <c r="D53" s="299" t="n">
        <f aca="false">Assm!L68</f>
        <v>0.5</v>
      </c>
      <c r="E53" s="852"/>
      <c r="F53" s="1005" t="s">
        <v>1076</v>
      </c>
      <c r="G53" s="1006" t="s">
        <v>1077</v>
      </c>
      <c r="H53" s="1005" t="s">
        <v>982</v>
      </c>
      <c r="I53" s="1007" t="s">
        <v>1078</v>
      </c>
    </row>
    <row r="54" customFormat="false" ht="12.75" hidden="false" customHeight="false" outlineLevel="0" collapsed="false">
      <c r="A54" s="1008"/>
      <c r="B54" s="1021" t="str">
        <f aca="false">Assm!H69</f>
        <v>Shell</v>
      </c>
      <c r="C54" s="1119" t="n">
        <f aca="false">Assm!K69</f>
        <v>0.375</v>
      </c>
      <c r="D54" s="299" t="n">
        <f aca="false">Assm!L69</f>
        <v>0.375</v>
      </c>
      <c r="E54" s="852"/>
      <c r="F54" s="1005" t="s">
        <v>1076</v>
      </c>
      <c r="G54" s="1006" t="n">
        <v>35950</v>
      </c>
      <c r="H54" s="1005" t="s">
        <v>982</v>
      </c>
      <c r="I54" s="1007" t="s">
        <v>1079</v>
      </c>
    </row>
    <row r="55" customFormat="false" ht="12.75" hidden="false" customHeight="false" outlineLevel="0" collapsed="false">
      <c r="A55" s="1008"/>
      <c r="B55" s="1021" t="str">
        <f aca="false">Assm!H70</f>
        <v>Transredes</v>
      </c>
      <c r="C55" s="1120" t="n">
        <f aca="false">Assm!K70</f>
        <v>0.125</v>
      </c>
      <c r="D55" s="1121" t="n">
        <f aca="false">Assm!L70</f>
        <v>0.125</v>
      </c>
      <c r="E55" s="863"/>
      <c r="F55" s="1005" t="s">
        <v>1076</v>
      </c>
      <c r="G55" s="1006" t="n">
        <v>36070</v>
      </c>
      <c r="H55" s="1005" t="s">
        <v>982</v>
      </c>
      <c r="I55" s="1007" t="s">
        <v>1080</v>
      </c>
    </row>
    <row r="56" customFormat="false" ht="13.5" hidden="false" customHeight="false" outlineLevel="0" collapsed="false">
      <c r="A56" s="1014"/>
      <c r="B56" s="996" t="str">
        <f aca="false">Assm!H71</f>
        <v>   Total</v>
      </c>
      <c r="C56" s="1074" t="n">
        <f aca="false">Assm!K71</f>
        <v>1</v>
      </c>
      <c r="D56" s="1075" t="n">
        <f aca="false">Assm!L71</f>
        <v>1</v>
      </c>
      <c r="E56" s="1122"/>
      <c r="F56" s="997"/>
      <c r="G56" s="998"/>
      <c r="H56" s="997"/>
      <c r="I56" s="999"/>
    </row>
    <row r="57" customFormat="false" ht="13.5" hidden="false" customHeight="false" outlineLevel="0" collapsed="false"/>
    <row r="58" customFormat="false" ht="12.75" hidden="false" customHeight="false" outlineLevel="0" collapsed="false">
      <c r="A58" s="1001" t="s">
        <v>1081</v>
      </c>
      <c r="B58" s="1105" t="str">
        <f aca="false">CONCATENATE("Discount Rate = ",TEXT(Disc,"0.00%")," / Target Rate = ",TEXT(Target,"0.00%"))</f>
        <v>Discount Rate = 19.00% / Target Rate = 15.00%</v>
      </c>
      <c r="C58" s="1123"/>
      <c r="D58" s="119"/>
      <c r="E58" s="1124"/>
      <c r="F58" s="1067" t="s">
        <v>1082</v>
      </c>
      <c r="G58" s="994" t="n">
        <v>35916</v>
      </c>
      <c r="H58" s="993" t="s">
        <v>1083</v>
      </c>
      <c r="I58" s="995"/>
    </row>
    <row r="59" customFormat="false" ht="12.75" hidden="false" customHeight="false" outlineLevel="0" collapsed="false">
      <c r="A59" s="1008"/>
      <c r="B59" s="1021"/>
      <c r="C59" s="1038" t="s">
        <v>211</v>
      </c>
      <c r="D59" s="288" t="s">
        <v>212</v>
      </c>
      <c r="E59" s="1039"/>
      <c r="F59" s="1005"/>
      <c r="G59" s="1006"/>
      <c r="H59" s="1005"/>
      <c r="I59" s="1007"/>
    </row>
    <row r="60" customFormat="false" ht="12.75" hidden="false" customHeight="false" outlineLevel="0" collapsed="false">
      <c r="A60" s="1008"/>
      <c r="B60" s="1035" t="s">
        <v>371</v>
      </c>
      <c r="C60" s="1119" t="n">
        <f aca="false">Irr</f>
        <v>0.0909136813663655</v>
      </c>
      <c r="D60" s="1083" t="n">
        <f aca="false">Npv</f>
        <v>-28234.245740359</v>
      </c>
      <c r="E60" s="1125"/>
      <c r="F60" s="1005" t="s">
        <v>987</v>
      </c>
      <c r="G60" s="1006" t="n">
        <v>35590</v>
      </c>
      <c r="H60" s="1005"/>
      <c r="I60" s="1007"/>
    </row>
    <row r="61" customFormat="false" ht="13.5" hidden="false" customHeight="false" outlineLevel="0" collapsed="false">
      <c r="A61" s="1014"/>
      <c r="B61" s="1126" t="s">
        <v>383</v>
      </c>
      <c r="C61" s="1074" t="e">
        <f aca="false">Assm!Q54</f>
        <v>#N/A</v>
      </c>
      <c r="D61" s="165" t="n">
        <f aca="false">Assm!R54</f>
        <v>-13071.75821692</v>
      </c>
      <c r="E61" s="1127"/>
      <c r="F61" s="997" t="s">
        <v>987</v>
      </c>
      <c r="G61" s="998" t="n">
        <v>35590</v>
      </c>
      <c r="H61" s="997"/>
      <c r="I61" s="999"/>
    </row>
  </sheetData>
  <mergeCells count="2">
    <mergeCell ref="C7:E7"/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91"/>
  <sheetViews>
    <sheetView showFormulas="false" showGridLines="false" showRowColHeaders="true" showZeros="true" rightToLeft="false" tabSelected="false" showOutlineSymbols="true" defaultGridColor="true" view="normal" topLeftCell="A2" colorId="64" zoomScale="75" zoomScaleNormal="75" zoomScalePageLayoutView="100" workbookViewId="0">
      <selection pane="topLeft" activeCell="D25" activeCellId="0" sqref="D2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6" min="2" style="1" width="11.7"/>
    <col collapsed="false" customWidth="true" hidden="false" outlineLevel="0" max="7" min="7" style="1" width="3.7"/>
    <col collapsed="false" customWidth="true" hidden="false" outlineLevel="0" max="8" min="8" style="1" width="25.7"/>
    <col collapsed="false" customWidth="true" hidden="false" outlineLevel="0" max="11" min="9" style="1" width="13.7"/>
    <col collapsed="false" customWidth="true" hidden="false" outlineLevel="0" max="12" min="12" style="1" width="15.13"/>
    <col collapsed="false" customWidth="true" hidden="false" outlineLevel="0" max="13" min="13" style="1" width="3.7"/>
    <col collapsed="false" customWidth="true" hidden="false" outlineLevel="0" max="14" min="14" style="1" width="24.13"/>
    <col collapsed="false" customWidth="true" hidden="false" outlineLevel="0" max="18" min="15" style="1" width="12.7"/>
    <col collapsed="false" customWidth="true" hidden="false" outlineLevel="0" max="19" min="19" style="1" width="3.7"/>
    <col collapsed="false" customWidth="true" hidden="false" outlineLevel="0" max="20" min="20" style="1" width="28.7"/>
    <col collapsed="false" customWidth="true" hidden="false" outlineLevel="0" max="24" min="21" style="1" width="12.7"/>
    <col collapsed="false" customWidth="false" hidden="false" outlineLevel="0" max="25" min="25" style="1" width="9.14"/>
    <col collapsed="false" customWidth="true" hidden="false" outlineLevel="0" max="27" min="26" style="1" width="9.7"/>
    <col collapsed="false" customWidth="false" hidden="false" outlineLevel="0" max="28" min="28" style="1" width="9.14"/>
    <col collapsed="false" customWidth="true" hidden="false" outlineLevel="0" max="29" min="29" style="1" width="20.7"/>
    <col collapsed="false" customWidth="true" hidden="false" outlineLevel="0" max="32" min="30" style="1" width="11.7"/>
    <col collapsed="false" customWidth="false" hidden="false" outlineLevel="0" max="257" min="33" style="1" width="9.14"/>
  </cols>
  <sheetData>
    <row r="1" customFormat="false" ht="15.75" hidden="false" customHeight="false" outlineLevel="0" collapsed="false">
      <c r="A1" s="14" t="str">
        <f aca="false">CONCATENATE(TOC!B2," ",TOC!B6)</f>
        <v>GASOCIDENTE DO MATO GROSSO LTDA (GASMAT) *** DRAFT COPY ***</v>
      </c>
      <c r="B1" s="15"/>
      <c r="C1" s="15"/>
      <c r="I1" s="16" t="str">
        <f aca="false">IF(Loopfactor=0," ","WARNING: MODEL HAS NOT BEEN CONVERGED")</f>
        <v> </v>
      </c>
      <c r="O1" s="16" t="str">
        <f aca="false">IF(((X9+X18+X27+X36+X45))-Debt&lt;0.05," ","WARNING:  THE SUM OF THE DEBT LISTED IN THE TRANCHES DOES NOT EQUAL TOTAL DEBT")</f>
        <v> </v>
      </c>
      <c r="S1" s="17"/>
    </row>
    <row r="2" customFormat="false" ht="15.75" hidden="false" customHeight="false" outlineLevel="0" collapsed="false">
      <c r="A2" s="14" t="str">
        <f aca="false">TOC!B3</f>
        <v>257 KM PIPELINE SPUR FOR CUIABA POWER PLANT (BRAZIL)</v>
      </c>
      <c r="B2" s="15"/>
      <c r="C2" s="15"/>
      <c r="I2" s="16" t="str">
        <f aca="false">IF(Commit_Factor=0," ","WARNING: COMMITMENT FEE HAS NOT BEEN CONVERGED")</f>
        <v> </v>
      </c>
      <c r="O2" s="16" t="str">
        <f aca="false">IF(ABS(Returns!AA10+Equity)&lt;0.5," ","WARNING:  EQUITY DISTRIBUTED IN THE RETURNS CALC DOES NOT EQUAL TOTAL EQUITY")</f>
        <v> </v>
      </c>
      <c r="S2" s="17"/>
    </row>
    <row r="3" customFormat="false" ht="15.75" hidden="false" customHeight="false" outlineLevel="0" collapsed="false">
      <c r="A3" s="18" t="str">
        <f aca="false">TOC!B4</f>
        <v>ENRON INTERNATIONAL</v>
      </c>
      <c r="B3" s="15"/>
      <c r="C3" s="15"/>
      <c r="F3" s="19"/>
      <c r="I3" s="16" t="str">
        <f aca="false">IF(ABS(BS_IS!AC35)&lt;0.1," ","WARNING: BALANCE SHEET IS NOT BALANCED")</f>
        <v> </v>
      </c>
      <c r="T3" s="20"/>
      <c r="U3" s="20"/>
    </row>
    <row r="4" customFormat="false" ht="15.75" hidden="false" customHeight="false" outlineLevel="0" collapsed="false">
      <c r="A4" s="21" t="s">
        <v>35</v>
      </c>
      <c r="B4" s="15"/>
      <c r="C4" s="15"/>
      <c r="F4" s="19"/>
      <c r="I4" s="16" t="str">
        <f aca="false">IF(V78&lt;W78,"WARNING: A-TAX TARGET MINIMUM DCR HAS NOT BEEN MET"," ")</f>
        <v>WARNING: A-TAX TARGET MINIMUM DCR HAS NOT BEEN MET</v>
      </c>
      <c r="O4" s="16" t="str">
        <f aca="false">IF(V79&lt;W79,"WARNING:  A-TAX TARGET AVERAGE DCR HAS NOT BEEN MET"," ")</f>
        <v>WARNING:  A-TAX TARGET AVERAGE DCR HAS NOT BEEN MET</v>
      </c>
    </row>
    <row r="5" customFormat="false" ht="13.5" hidden="false" customHeight="false" outlineLevel="0" collapsed="false">
      <c r="A5" s="22" t="s">
        <v>36</v>
      </c>
      <c r="E5" s="23"/>
      <c r="F5" s="19"/>
    </row>
    <row r="6" customFormat="false" ht="13.5" hidden="false" customHeight="false" outlineLevel="0" collapsed="false">
      <c r="A6" s="24" t="s">
        <v>37</v>
      </c>
      <c r="B6" s="25"/>
      <c r="C6" s="25"/>
      <c r="D6" s="26"/>
      <c r="E6" s="27" t="n">
        <f aca="false">YEAR(Startops1)</f>
        <v>2001</v>
      </c>
      <c r="F6" s="28"/>
      <c r="H6" s="24" t="s">
        <v>38</v>
      </c>
      <c r="I6" s="25"/>
      <c r="J6" s="26"/>
      <c r="K6" s="29" t="s">
        <v>39</v>
      </c>
      <c r="L6" s="30" t="s">
        <v>40</v>
      </c>
      <c r="N6" s="24" t="s">
        <v>41</v>
      </c>
      <c r="O6" s="26"/>
      <c r="P6" s="26"/>
      <c r="Q6" s="26"/>
      <c r="R6" s="31" t="s">
        <v>42</v>
      </c>
      <c r="S6" s="32"/>
      <c r="T6" s="24" t="s">
        <v>43</v>
      </c>
      <c r="U6" s="26"/>
      <c r="V6" s="26"/>
      <c r="W6" s="26"/>
      <c r="X6" s="33"/>
      <c r="AC6" s="34" t="s">
        <v>44</v>
      </c>
      <c r="AD6" s="35" t="s">
        <v>45</v>
      </c>
      <c r="AE6" s="35" t="s">
        <v>46</v>
      </c>
      <c r="AF6" s="36" t="s">
        <v>47</v>
      </c>
    </row>
    <row r="7" customFormat="false" ht="12.75" hidden="false" customHeight="false" outlineLevel="0" collapsed="false">
      <c r="A7" s="37" t="s">
        <v>48</v>
      </c>
      <c r="B7" s="38"/>
      <c r="C7" s="38"/>
      <c r="D7" s="39"/>
      <c r="E7" s="40" t="n">
        <v>257</v>
      </c>
      <c r="F7" s="41" t="s">
        <v>49</v>
      </c>
      <c r="H7" s="42" t="s">
        <v>50</v>
      </c>
      <c r="I7" s="39"/>
      <c r="J7" s="43"/>
      <c r="K7" s="39"/>
      <c r="L7" s="44"/>
      <c r="N7" s="37" t="s">
        <v>51</v>
      </c>
      <c r="O7" s="39"/>
      <c r="P7" s="39"/>
      <c r="Q7" s="39"/>
      <c r="R7" s="45" t="n">
        <f aca="false">Turnkey!C21</f>
        <v>66413.135</v>
      </c>
      <c r="S7" s="46"/>
      <c r="T7" s="37"/>
      <c r="U7" s="39"/>
      <c r="V7" s="39"/>
      <c r="W7" s="39"/>
      <c r="X7" s="44"/>
      <c r="AC7" s="37"/>
      <c r="AD7" s="47"/>
      <c r="AE7" s="47"/>
      <c r="AF7" s="48"/>
    </row>
    <row r="8" customFormat="false" ht="13.5" hidden="false" customHeight="false" outlineLevel="0" collapsed="false">
      <c r="A8" s="49" t="s">
        <v>52</v>
      </c>
      <c r="B8" s="50"/>
      <c r="C8" s="50"/>
      <c r="D8" s="22"/>
      <c r="E8" s="51" t="n">
        <v>18</v>
      </c>
      <c r="F8" s="52" t="s">
        <v>53</v>
      </c>
      <c r="H8" s="37" t="s">
        <v>54</v>
      </c>
      <c r="I8" s="39"/>
      <c r="J8" s="53" t="n">
        <v>0.15</v>
      </c>
      <c r="K8" s="54" t="s">
        <v>55</v>
      </c>
      <c r="L8" s="44"/>
      <c r="N8" s="37" t="s">
        <v>56</v>
      </c>
      <c r="O8" s="39"/>
      <c r="P8" s="39"/>
      <c r="Q8" s="39"/>
      <c r="R8" s="45" t="n">
        <f aca="false">Turnkey!D44</f>
        <v>5631.945</v>
      </c>
      <c r="S8" s="55"/>
      <c r="T8" s="56" t="s">
        <v>57</v>
      </c>
      <c r="U8" s="57"/>
      <c r="V8" s="58"/>
      <c r="W8" s="58"/>
      <c r="X8" s="59"/>
      <c r="AC8" s="37" t="s">
        <v>58</v>
      </c>
      <c r="AD8" s="60" t="n">
        <f aca="false">AE8</f>
        <v>126558.004643692</v>
      </c>
      <c r="AE8" s="61" t="n">
        <f aca="false">Cost</f>
        <v>126558.004643692</v>
      </c>
      <c r="AF8" s="62" t="n">
        <f aca="false">AE8-Est_Cost</f>
        <v>0</v>
      </c>
    </row>
    <row r="9" customFormat="false" ht="13.5" hidden="false" customHeight="false" outlineLevel="0" collapsed="false">
      <c r="B9" s="39"/>
      <c r="C9" s="39"/>
      <c r="H9" s="37" t="s">
        <v>59</v>
      </c>
      <c r="I9" s="39"/>
      <c r="J9" s="53" t="n">
        <v>0.1</v>
      </c>
      <c r="K9" s="54" t="s">
        <v>60</v>
      </c>
      <c r="L9" s="63" t="n">
        <f aca="false">20*12</f>
        <v>240</v>
      </c>
      <c r="N9" s="37" t="s">
        <v>61</v>
      </c>
      <c r="O9" s="39"/>
      <c r="P9" s="39"/>
      <c r="Q9" s="39"/>
      <c r="R9" s="45" t="n">
        <f aca="false">Turnkey!D49</f>
        <v>200.444</v>
      </c>
      <c r="S9" s="55"/>
      <c r="T9" s="37" t="s">
        <v>62</v>
      </c>
      <c r="U9" s="39"/>
      <c r="V9" s="39"/>
      <c r="W9" s="64" t="n">
        <f aca="false">X9/Debt</f>
        <v>1</v>
      </c>
      <c r="X9" s="65" t="n">
        <f aca="false">Debt-SUM(X18,X27,X36,X45)</f>
        <v>75934.8027862155</v>
      </c>
      <c r="AC9" s="37" t="s">
        <v>63</v>
      </c>
      <c r="AD9" s="60" t="n">
        <f aca="false">AE9</f>
        <v>7359.65737927269</v>
      </c>
      <c r="AE9" s="61" t="n">
        <f aca="false">IDC!$D$69</f>
        <v>7359.65737927269</v>
      </c>
      <c r="AF9" s="62" t="n">
        <f aca="false">AE9-Est_IDC</f>
        <v>0</v>
      </c>
    </row>
    <row r="10" customFormat="false" ht="13.5" hidden="false" customHeight="false" outlineLevel="0" collapsed="false">
      <c r="A10" s="24" t="s">
        <v>64</v>
      </c>
      <c r="B10" s="26"/>
      <c r="C10" s="26"/>
      <c r="D10" s="26"/>
      <c r="E10" s="26"/>
      <c r="F10" s="33"/>
      <c r="H10" s="37" t="s">
        <v>65</v>
      </c>
      <c r="I10" s="39"/>
      <c r="J10" s="53" t="n">
        <v>0.08</v>
      </c>
      <c r="K10" s="54" t="s">
        <v>66</v>
      </c>
      <c r="L10" s="44"/>
      <c r="N10" s="37" t="s">
        <v>67</v>
      </c>
      <c r="O10" s="39"/>
      <c r="P10" s="66"/>
      <c r="Q10" s="39"/>
      <c r="R10" s="45" t="n">
        <f aca="false">Turnkey!D57</f>
        <v>16999</v>
      </c>
      <c r="S10" s="55"/>
      <c r="T10" s="37" t="s">
        <v>68</v>
      </c>
      <c r="U10" s="39"/>
      <c r="V10" s="39"/>
      <c r="W10" s="67"/>
      <c r="X10" s="68" t="n">
        <v>3</v>
      </c>
      <c r="AC10" s="37" t="s">
        <v>69</v>
      </c>
      <c r="AD10" s="60" t="n">
        <f aca="false">AE10</f>
        <v>628.255538313182</v>
      </c>
      <c r="AE10" s="61" t="n">
        <f aca="false">IDC!AO53</f>
        <v>628.255538313182</v>
      </c>
      <c r="AF10" s="62" t="n">
        <f aca="false">AE10-AD10</f>
        <v>0</v>
      </c>
    </row>
    <row r="11" customFormat="false" ht="12.75" hidden="false" customHeight="false" outlineLevel="0" collapsed="false">
      <c r="A11" s="37" t="s">
        <v>70</v>
      </c>
      <c r="B11" s="39"/>
      <c r="C11" s="39"/>
      <c r="D11" s="39"/>
      <c r="F11" s="69" t="n">
        <v>35886</v>
      </c>
      <c r="H11" s="37" t="s">
        <v>71</v>
      </c>
      <c r="I11" s="39"/>
      <c r="J11" s="70" t="n">
        <v>0.3</v>
      </c>
      <c r="K11" s="54" t="s">
        <v>72</v>
      </c>
      <c r="L11" s="44"/>
      <c r="N11" s="37" t="s">
        <v>73</v>
      </c>
      <c r="O11" s="39"/>
      <c r="P11" s="66"/>
      <c r="Q11" s="39"/>
      <c r="R11" s="71" t="n">
        <v>-179.149</v>
      </c>
      <c r="S11" s="55"/>
      <c r="T11" s="72" t="s">
        <v>74</v>
      </c>
      <c r="U11" s="73" t="n">
        <v>15</v>
      </c>
      <c r="W11" s="74" t="s">
        <v>75</v>
      </c>
      <c r="X11" s="75" t="n">
        <f aca="false">IF(U11=0,0,U11-ROUND(((Startops2-Fin_Close)/365),0)+X12/2)*2</f>
        <v>29</v>
      </c>
      <c r="Z11" s="76" t="s">
        <v>76</v>
      </c>
      <c r="AA11" s="76"/>
      <c r="AC11" s="37" t="s">
        <v>77</v>
      </c>
      <c r="AD11" s="60" t="n">
        <f aca="false">AE11</f>
        <v>12.5631028832684</v>
      </c>
      <c r="AE11" s="61" t="n">
        <f aca="false">IDC!D86</f>
        <v>12.5631028832684</v>
      </c>
      <c r="AF11" s="62" t="n">
        <f aca="false">AE11-Est_Commit</f>
        <v>0</v>
      </c>
    </row>
    <row r="12" customFormat="false" ht="13.5" hidden="false" customHeight="false" outlineLevel="0" collapsed="false">
      <c r="A12" s="37" t="s">
        <v>78</v>
      </c>
      <c r="B12" s="39"/>
      <c r="C12" s="39"/>
      <c r="D12" s="39"/>
      <c r="F12" s="69" t="n">
        <v>36342</v>
      </c>
      <c r="H12" s="37" t="s">
        <v>79</v>
      </c>
      <c r="I12" s="39"/>
      <c r="J12" s="53" t="n">
        <v>0</v>
      </c>
      <c r="K12" s="54" t="s">
        <v>80</v>
      </c>
      <c r="L12" s="44"/>
      <c r="N12" s="37" t="s">
        <v>81</v>
      </c>
      <c r="O12" s="39"/>
      <c r="P12" s="77" t="n">
        <v>1</v>
      </c>
      <c r="R12" s="78" t="n">
        <f aca="false">(-Turnkey!C20+Turnkey!D20)*$P12</f>
        <v>1136.78274194118</v>
      </c>
      <c r="S12" s="55"/>
      <c r="T12" s="72" t="s">
        <v>82</v>
      </c>
      <c r="U12" s="79" t="n">
        <f aca="false">IF(X12=0,0,X12+ROUND(((Startops2-Fin_Close)/365),2))</f>
        <v>1.92</v>
      </c>
      <c r="W12" s="74" t="s">
        <v>83</v>
      </c>
      <c r="X12" s="80" t="n">
        <f aca="false">1</f>
        <v>1</v>
      </c>
      <c r="Z12" s="81" t="n">
        <f aca="false">IF(ABS(SUM(AF14))&lt;0.05,0,1)</f>
        <v>0</v>
      </c>
      <c r="AA12" s="81"/>
      <c r="AC12" s="37" t="s">
        <v>84</v>
      </c>
      <c r="AD12" s="60" t="n">
        <f aca="false">AE12</f>
        <v>1139.02204179323</v>
      </c>
      <c r="AE12" s="61" t="n">
        <f aca="false">Debt*X74</f>
        <v>1139.02204179323</v>
      </c>
      <c r="AF12" s="62" t="n">
        <f aca="false">AE12-AD12</f>
        <v>0</v>
      </c>
    </row>
    <row r="13" customFormat="false" ht="12.75" hidden="false" customHeight="false" outlineLevel="0" collapsed="false">
      <c r="A13" s="37" t="s">
        <v>85</v>
      </c>
      <c r="B13" s="39"/>
      <c r="C13" s="39"/>
      <c r="D13" s="39"/>
      <c r="F13" s="69" t="n">
        <f aca="false">[1]RAROC!$J$50</f>
        <v>36892</v>
      </c>
      <c r="H13" s="37" t="s">
        <v>86</v>
      </c>
      <c r="I13" s="39"/>
      <c r="J13" s="53" t="n">
        <v>0.15</v>
      </c>
      <c r="K13" s="54" t="s">
        <v>87</v>
      </c>
      <c r="L13" s="44"/>
      <c r="N13" s="82" t="s">
        <v>88</v>
      </c>
      <c r="O13" s="66"/>
      <c r="P13" s="66"/>
      <c r="Q13" s="39"/>
      <c r="R13" s="83" t="n">
        <f aca="false">SUM(R7:R12)</f>
        <v>90202.1577419412</v>
      </c>
      <c r="S13" s="55"/>
      <c r="T13" s="37" t="s">
        <v>89</v>
      </c>
      <c r="U13" s="39"/>
      <c r="V13" s="39"/>
      <c r="W13" s="84"/>
      <c r="X13" s="75" t="n">
        <f aca="false">IF(X9=0,0,ROUND(U11/2+(Term_C/12),1))</f>
        <v>10.4</v>
      </c>
      <c r="AC13" s="37"/>
      <c r="AD13" s="39"/>
      <c r="AE13" s="39"/>
      <c r="AF13" s="44"/>
    </row>
    <row r="14" customFormat="false" ht="13.5" hidden="false" customHeight="false" outlineLevel="0" collapsed="false">
      <c r="A14" s="85" t="s">
        <v>90</v>
      </c>
      <c r="B14" s="39"/>
      <c r="C14" s="39"/>
      <c r="D14" s="39"/>
      <c r="E14" s="86"/>
      <c r="F14" s="44" t="n">
        <f aca="false">ROUND((Startops1-Startconst)/(365/12),0)</f>
        <v>35</v>
      </c>
      <c r="H14" s="37" t="s">
        <v>91</v>
      </c>
      <c r="I14" s="39"/>
      <c r="J14" s="53" t="n">
        <v>0.25</v>
      </c>
      <c r="K14" s="54" t="s">
        <v>92</v>
      </c>
      <c r="L14" s="44"/>
      <c r="N14" s="82"/>
      <c r="O14" s="66"/>
      <c r="P14" s="66"/>
      <c r="Q14" s="39"/>
      <c r="R14" s="87"/>
      <c r="S14" s="55"/>
      <c r="T14" s="37" t="s">
        <v>93</v>
      </c>
      <c r="U14" s="39"/>
      <c r="V14" s="88" t="n">
        <v>0.063125</v>
      </c>
      <c r="W14" s="88" t="n">
        <v>0.047</v>
      </c>
      <c r="X14" s="89" t="n">
        <f aca="false">W14+V14</f>
        <v>0.110125</v>
      </c>
      <c r="AC14" s="90" t="s">
        <v>94</v>
      </c>
      <c r="AD14" s="91"/>
      <c r="AE14" s="91"/>
      <c r="AF14" s="92" t="n">
        <f aca="false">SUM(AF8:AF13)</f>
        <v>0</v>
      </c>
    </row>
    <row r="15" customFormat="false" ht="12.75" hidden="false" customHeight="false" outlineLevel="0" collapsed="false">
      <c r="A15" s="37" t="s">
        <v>95</v>
      </c>
      <c r="B15" s="39"/>
      <c r="C15" s="93"/>
      <c r="F15" s="94" t="n">
        <f aca="false">[1]RAROC!$J$51</f>
        <v>36951</v>
      </c>
      <c r="H15" s="37" t="s">
        <v>96</v>
      </c>
      <c r="I15" s="39"/>
      <c r="J15" s="53" t="n">
        <v>0.15</v>
      </c>
      <c r="K15" s="54" t="s">
        <v>97</v>
      </c>
      <c r="L15" s="44"/>
      <c r="N15" s="37" t="s">
        <v>98</v>
      </c>
      <c r="O15" s="39"/>
      <c r="P15" s="39"/>
      <c r="Q15" s="39"/>
      <c r="R15" s="71" t="n">
        <f aca="false">240-94</f>
        <v>146</v>
      </c>
      <c r="S15" s="55"/>
      <c r="T15" s="37" t="s">
        <v>84</v>
      </c>
      <c r="U15" s="39"/>
      <c r="V15" s="47"/>
      <c r="W15" s="47"/>
      <c r="X15" s="95" t="n">
        <v>0.015</v>
      </c>
    </row>
    <row r="16" customFormat="false" ht="12.75" hidden="false" customHeight="false" outlineLevel="0" collapsed="false">
      <c r="A16" s="37" t="s">
        <v>99</v>
      </c>
      <c r="B16" s="39"/>
      <c r="C16" s="93"/>
      <c r="F16" s="94" t="n">
        <f aca="false">[1]RAROC!$J$52</f>
        <v>37104</v>
      </c>
      <c r="H16" s="37" t="s">
        <v>100</v>
      </c>
      <c r="I16" s="39"/>
      <c r="J16" s="53" t="n">
        <v>0.0065</v>
      </c>
      <c r="K16" s="54" t="s">
        <v>101</v>
      </c>
      <c r="L16" s="44"/>
      <c r="N16" s="37" t="s">
        <v>102</v>
      </c>
      <c r="O16" s="39"/>
      <c r="P16" s="39"/>
      <c r="Q16" s="39"/>
      <c r="R16" s="71" t="n">
        <v>994</v>
      </c>
      <c r="S16" s="96"/>
      <c r="T16" s="37" t="s">
        <v>77</v>
      </c>
      <c r="U16" s="39"/>
      <c r="V16" s="47"/>
      <c r="W16" s="47"/>
      <c r="X16" s="95" t="n">
        <v>0.005</v>
      </c>
    </row>
    <row r="17" customFormat="false" ht="12.75" hidden="false" customHeight="false" outlineLevel="0" collapsed="false">
      <c r="A17" s="37" t="s">
        <v>103</v>
      </c>
      <c r="B17" s="39"/>
      <c r="C17" s="93"/>
      <c r="D17" s="39"/>
      <c r="F17" s="94" t="n">
        <v>43556</v>
      </c>
      <c r="H17" s="37" t="s">
        <v>104</v>
      </c>
      <c r="I17" s="39"/>
      <c r="J17" s="97" t="n">
        <v>0.03</v>
      </c>
      <c r="K17" s="54" t="s">
        <v>101</v>
      </c>
      <c r="L17" s="44"/>
      <c r="N17" s="37" t="s">
        <v>105</v>
      </c>
      <c r="O17" s="98" t="n">
        <v>556</v>
      </c>
      <c r="P17" s="99" t="s">
        <v>106</v>
      </c>
      <c r="Q17" s="98" t="n">
        <v>0</v>
      </c>
      <c r="R17" s="45" t="n">
        <f aca="false">SUM(O17,Q17)</f>
        <v>556</v>
      </c>
      <c r="S17" s="100"/>
      <c r="T17" s="101" t="s">
        <v>107</v>
      </c>
      <c r="U17" s="102"/>
      <c r="V17" s="103"/>
      <c r="W17" s="103"/>
      <c r="X17" s="104"/>
    </row>
    <row r="18" customFormat="false" ht="12.75" hidden="false" customHeight="false" outlineLevel="0" collapsed="false">
      <c r="A18" s="37" t="s">
        <v>108</v>
      </c>
      <c r="B18" s="39"/>
      <c r="C18" s="105"/>
      <c r="D18" s="39"/>
      <c r="E18" s="39"/>
      <c r="F18" s="106" t="n">
        <v>20</v>
      </c>
      <c r="H18" s="37" t="s">
        <v>109</v>
      </c>
      <c r="I18" s="39"/>
      <c r="J18" s="53" t="n">
        <v>0.29</v>
      </c>
      <c r="K18" s="54" t="s">
        <v>110</v>
      </c>
      <c r="L18" s="44"/>
      <c r="N18" s="37" t="s">
        <v>111</v>
      </c>
      <c r="O18" s="39"/>
      <c r="P18" s="107"/>
      <c r="Q18" s="39"/>
      <c r="R18" s="71" t="n">
        <f aca="false">1000+850</f>
        <v>1850</v>
      </c>
      <c r="S18" s="96"/>
      <c r="T18" s="72" t="s">
        <v>62</v>
      </c>
      <c r="U18" s="108"/>
      <c r="V18" s="108"/>
      <c r="W18" s="64" t="n">
        <f aca="false">X18/Debt</f>
        <v>0</v>
      </c>
      <c r="X18" s="71" t="n">
        <v>0</v>
      </c>
    </row>
    <row r="19" customFormat="false" ht="13.5" hidden="false" customHeight="false" outlineLevel="0" collapsed="false">
      <c r="A19" s="49" t="s">
        <v>112</v>
      </c>
      <c r="B19" s="50"/>
      <c r="C19" s="50"/>
      <c r="D19" s="22"/>
      <c r="E19" s="22"/>
      <c r="F19" s="109" t="s">
        <v>113</v>
      </c>
      <c r="H19" s="37" t="s">
        <v>114</v>
      </c>
      <c r="I19" s="39"/>
      <c r="J19" s="53" t="n">
        <v>0.08</v>
      </c>
      <c r="K19" s="54" t="s">
        <v>110</v>
      </c>
      <c r="L19" s="44"/>
      <c r="N19" s="37" t="s">
        <v>115</v>
      </c>
      <c r="O19" s="39"/>
      <c r="P19" s="39"/>
      <c r="Q19" s="39"/>
      <c r="R19" s="71" t="n">
        <v>26</v>
      </c>
      <c r="S19" s="100"/>
      <c r="T19" s="72" t="s">
        <v>68</v>
      </c>
      <c r="U19" s="108"/>
      <c r="V19" s="108"/>
      <c r="W19" s="110"/>
      <c r="X19" s="68" t="n">
        <v>2</v>
      </c>
    </row>
    <row r="20" customFormat="false" ht="13.5" hidden="false" customHeight="false" outlineLevel="0" collapsed="false">
      <c r="B20" s="39"/>
      <c r="C20" s="39"/>
      <c r="H20" s="37" t="s">
        <v>116</v>
      </c>
      <c r="I20" s="39"/>
      <c r="J20" s="53" t="n">
        <v>0.025</v>
      </c>
      <c r="K20" s="54" t="s">
        <v>110</v>
      </c>
      <c r="L20" s="44"/>
      <c r="N20" s="37" t="s">
        <v>117</v>
      </c>
      <c r="O20" s="39"/>
      <c r="P20" s="39"/>
      <c r="Q20" s="39"/>
      <c r="R20" s="71" t="n">
        <v>7450.98355777778</v>
      </c>
      <c r="S20" s="100"/>
      <c r="T20" s="72" t="s">
        <v>74</v>
      </c>
      <c r="U20" s="73" t="n">
        <v>0</v>
      </c>
      <c r="W20" s="74" t="s">
        <v>75</v>
      </c>
      <c r="X20" s="75" t="n">
        <f aca="false">IF(U20=0,0,U20-ROUND(((Startops2-Fin_Close)/365),0)+X21/2)*2</f>
        <v>0</v>
      </c>
    </row>
    <row r="21" customFormat="false" ht="13.5" hidden="false" customHeight="false" outlineLevel="0" collapsed="false">
      <c r="A21" s="24" t="s">
        <v>118</v>
      </c>
      <c r="B21" s="26"/>
      <c r="C21" s="26"/>
      <c r="D21" s="26"/>
      <c r="E21" s="26"/>
      <c r="F21" s="33"/>
      <c r="H21" s="37" t="s">
        <v>119</v>
      </c>
      <c r="I21" s="39"/>
      <c r="J21" s="53" t="n">
        <v>0.17</v>
      </c>
      <c r="K21" s="54" t="s">
        <v>120</v>
      </c>
      <c r="L21" s="44"/>
      <c r="N21" s="37" t="s">
        <v>121</v>
      </c>
      <c r="O21" s="39"/>
      <c r="P21" s="39"/>
      <c r="Q21" s="39"/>
      <c r="R21" s="111" t="n">
        <v>988.825381111111</v>
      </c>
      <c r="S21" s="55"/>
      <c r="T21" s="72" t="s">
        <v>82</v>
      </c>
      <c r="U21" s="79" t="n">
        <f aca="false">IF(X21=0,0,X21+ROUND(((Startops2-Fin_Close)/365),2))</f>
        <v>1.92</v>
      </c>
      <c r="W21" s="74" t="s">
        <v>83</v>
      </c>
      <c r="X21" s="80" t="n">
        <f aca="false">1</f>
        <v>1</v>
      </c>
    </row>
    <row r="22" customFormat="false" ht="12.75" hidden="false" customHeight="false" outlineLevel="0" collapsed="false">
      <c r="A22" s="37" t="s">
        <v>122</v>
      </c>
      <c r="B22" s="39"/>
      <c r="C22" s="39"/>
      <c r="E22" s="39"/>
      <c r="F22" s="94" t="n">
        <f aca="false">[2]RAC_ASSUMP!$C$15</f>
        <v>36770</v>
      </c>
      <c r="H22" s="37" t="s">
        <v>123</v>
      </c>
      <c r="I22" s="39"/>
      <c r="J22" s="53" t="n">
        <v>0.17</v>
      </c>
      <c r="K22" s="54" t="s">
        <v>120</v>
      </c>
      <c r="L22" s="44"/>
      <c r="N22" s="82" t="s">
        <v>124</v>
      </c>
      <c r="O22" s="66"/>
      <c r="P22" s="66"/>
      <c r="Q22" s="39"/>
      <c r="R22" s="83" t="n">
        <f aca="false">SUM(R15:R21)</f>
        <v>12011.8089388889</v>
      </c>
      <c r="S22" s="55"/>
      <c r="T22" s="37" t="s">
        <v>89</v>
      </c>
      <c r="U22" s="108"/>
      <c r="V22" s="108"/>
      <c r="W22" s="112"/>
      <c r="X22" s="75" t="n">
        <f aca="false">IF(X18=0,0,ROUND(U20/2+(Term_C/12),1))</f>
        <v>0</v>
      </c>
    </row>
    <row r="23" customFormat="false" ht="12.75" hidden="false" customHeight="false" outlineLevel="0" collapsed="false">
      <c r="A23" s="37" t="s">
        <v>125</v>
      </c>
      <c r="B23" s="39"/>
      <c r="C23" s="39"/>
      <c r="D23" s="39"/>
      <c r="E23" s="39"/>
      <c r="F23" s="44" t="n">
        <f aca="false">ROUND((Fin_Close-Startconst)/(365/12),0)</f>
        <v>29</v>
      </c>
      <c r="H23" s="37" t="s">
        <v>126</v>
      </c>
      <c r="I23" s="39"/>
      <c r="J23" s="53" t="n">
        <v>0</v>
      </c>
      <c r="K23" s="54" t="s">
        <v>127</v>
      </c>
      <c r="L23" s="44"/>
      <c r="N23" s="82"/>
      <c r="O23" s="66"/>
      <c r="P23" s="66"/>
      <c r="Q23" s="39"/>
      <c r="R23" s="87"/>
      <c r="S23" s="55"/>
      <c r="T23" s="37" t="s">
        <v>93</v>
      </c>
      <c r="U23" s="108"/>
      <c r="V23" s="88" t="n">
        <v>0.0677</v>
      </c>
      <c r="W23" s="88" t="n">
        <v>0.025</v>
      </c>
      <c r="X23" s="113" t="n">
        <f aca="false">W23+V23</f>
        <v>0.0927</v>
      </c>
    </row>
    <row r="24" customFormat="false" ht="12.75" hidden="false" customHeight="false" outlineLevel="0" collapsed="false">
      <c r="A24" s="37" t="s">
        <v>128</v>
      </c>
      <c r="B24" s="39"/>
      <c r="C24" s="39"/>
      <c r="D24" s="39"/>
      <c r="E24" s="39"/>
      <c r="F24" s="106" t="n">
        <v>6</v>
      </c>
      <c r="H24" s="114" t="s">
        <v>129</v>
      </c>
      <c r="I24" s="39"/>
      <c r="J24" s="115"/>
      <c r="K24" s="54"/>
      <c r="L24" s="44"/>
      <c r="N24" s="37" t="s">
        <v>130</v>
      </c>
      <c r="O24" s="39"/>
      <c r="P24" s="39"/>
      <c r="Q24" s="39"/>
      <c r="R24" s="45" t="n">
        <f aca="false">Est_IDC</f>
        <v>7359.65737927269</v>
      </c>
      <c r="S24" s="55"/>
      <c r="T24" s="72" t="s">
        <v>84</v>
      </c>
      <c r="U24" s="108"/>
      <c r="V24" s="116"/>
      <c r="W24" s="116"/>
      <c r="X24" s="95" t="n">
        <v>0.015</v>
      </c>
    </row>
    <row r="25" customFormat="false" ht="13.5" hidden="false" customHeight="false" outlineLevel="0" collapsed="false">
      <c r="A25" s="49" t="s">
        <v>131</v>
      </c>
      <c r="B25" s="22"/>
      <c r="C25" s="22"/>
      <c r="D25" s="22"/>
      <c r="E25" s="22"/>
      <c r="F25" s="117" t="n">
        <f aca="false">EDATE(Startops2,F24)</f>
        <v>37288</v>
      </c>
      <c r="H25" s="37" t="s">
        <v>132</v>
      </c>
      <c r="I25" s="39"/>
      <c r="J25" s="53" t="n">
        <v>0.17</v>
      </c>
      <c r="K25" s="54" t="s">
        <v>133</v>
      </c>
      <c r="L25" s="44"/>
      <c r="N25" s="37" t="s">
        <v>134</v>
      </c>
      <c r="O25" s="39"/>
      <c r="P25" s="39"/>
      <c r="Q25" s="39"/>
      <c r="R25" s="45" t="n">
        <f aca="false">AD10</f>
        <v>628.255538313182</v>
      </c>
      <c r="S25" s="55"/>
      <c r="T25" s="72" t="s">
        <v>77</v>
      </c>
      <c r="U25" s="108"/>
      <c r="V25" s="116"/>
      <c r="W25" s="116"/>
      <c r="X25" s="95" t="n">
        <v>0.0025</v>
      </c>
    </row>
    <row r="26" customFormat="false" ht="13.5" hidden="false" customHeight="false" outlineLevel="0" collapsed="false">
      <c r="H26" s="37" t="s">
        <v>135</v>
      </c>
      <c r="I26" s="39"/>
      <c r="J26" s="53" t="n">
        <v>0.15</v>
      </c>
      <c r="K26" s="54" t="s">
        <v>133</v>
      </c>
      <c r="L26" s="44"/>
      <c r="N26" s="37" t="s">
        <v>77</v>
      </c>
      <c r="O26" s="39"/>
      <c r="P26" s="39"/>
      <c r="Q26" s="39"/>
      <c r="R26" s="45" t="n">
        <f aca="false">Est_Commit</f>
        <v>12.5631028832684</v>
      </c>
      <c r="S26" s="55"/>
      <c r="T26" s="101" t="s">
        <v>136</v>
      </c>
      <c r="U26" s="102"/>
      <c r="V26" s="103"/>
      <c r="W26" s="103"/>
      <c r="X26" s="104"/>
    </row>
    <row r="27" customFormat="false" ht="13.5" hidden="false" customHeight="false" outlineLevel="0" collapsed="false">
      <c r="A27" s="24" t="s">
        <v>137</v>
      </c>
      <c r="B27" s="26"/>
      <c r="C27" s="118" t="n">
        <f aca="false">0.3351+0.005</f>
        <v>0.3401</v>
      </c>
      <c r="D27" s="119"/>
      <c r="E27" s="119"/>
      <c r="F27" s="33"/>
      <c r="H27" s="49" t="s">
        <v>138</v>
      </c>
      <c r="I27" s="22"/>
      <c r="J27" s="120" t="n">
        <v>0.087</v>
      </c>
      <c r="K27" s="121" t="s">
        <v>133</v>
      </c>
      <c r="L27" s="122"/>
      <c r="N27" s="37" t="s">
        <v>84</v>
      </c>
      <c r="O27" s="39"/>
      <c r="P27" s="39"/>
      <c r="Q27" s="39"/>
      <c r="R27" s="45" t="n">
        <f aca="false">AD12</f>
        <v>1139.02204179323</v>
      </c>
      <c r="S27" s="55"/>
      <c r="T27" s="72" t="s">
        <v>62</v>
      </c>
      <c r="U27" s="108"/>
      <c r="V27" s="108"/>
      <c r="W27" s="64" t="n">
        <f aca="false">X27/Debt</f>
        <v>0</v>
      </c>
      <c r="X27" s="71" t="n">
        <v>0</v>
      </c>
    </row>
    <row r="28" customFormat="false" ht="13.5" hidden="false" customHeight="false" outlineLevel="0" collapsed="false">
      <c r="A28" s="37"/>
      <c r="B28" s="39"/>
      <c r="C28" s="39"/>
      <c r="D28" s="123" t="n">
        <v>1998</v>
      </c>
      <c r="F28" s="124" t="s">
        <v>139</v>
      </c>
      <c r="N28" s="37" t="s">
        <v>140</v>
      </c>
      <c r="O28" s="39"/>
      <c r="P28" s="39"/>
      <c r="Q28" s="39"/>
      <c r="R28" s="71" t="n">
        <v>2831.325</v>
      </c>
      <c r="S28" s="55"/>
      <c r="T28" s="72" t="s">
        <v>68</v>
      </c>
      <c r="U28" s="108"/>
      <c r="V28" s="108"/>
      <c r="W28" s="110"/>
      <c r="X28" s="68" t="n">
        <v>0</v>
      </c>
    </row>
    <row r="29" customFormat="false" ht="13.5" hidden="false" customHeight="false" outlineLevel="0" collapsed="false">
      <c r="A29" s="37" t="s">
        <v>141</v>
      </c>
      <c r="B29" s="39"/>
      <c r="C29" s="47" t="s">
        <v>142</v>
      </c>
      <c r="D29" s="125" t="n">
        <f aca="false">ROUND($C$27*(0.3351/(0.3351+0.005)),4)</f>
        <v>0.3351</v>
      </c>
      <c r="E29" s="126"/>
      <c r="F29" s="127" t="s">
        <v>143</v>
      </c>
      <c r="H29" s="24" t="s">
        <v>24</v>
      </c>
      <c r="I29" s="26"/>
      <c r="J29" s="26"/>
      <c r="K29" s="128" t="s">
        <v>144</v>
      </c>
      <c r="L29" s="129" t="n">
        <v>1</v>
      </c>
      <c r="N29" s="37" t="s">
        <v>145</v>
      </c>
      <c r="O29" s="39"/>
      <c r="P29" s="39"/>
      <c r="Q29" s="39"/>
      <c r="R29" s="71" t="n">
        <v>0</v>
      </c>
      <c r="S29" s="55"/>
      <c r="T29" s="72" t="s">
        <v>74</v>
      </c>
      <c r="U29" s="73" t="n">
        <v>0</v>
      </c>
      <c r="W29" s="74" t="s">
        <v>75</v>
      </c>
      <c r="X29" s="75" t="n">
        <f aca="false">IF(U29=0,0,U29-ROUND(((Startops2-Fin_Close)/365),0)+X30/2)*2</f>
        <v>0</v>
      </c>
    </row>
    <row r="30" customFormat="false" ht="13.5" hidden="false" customHeight="false" outlineLevel="0" collapsed="false">
      <c r="A30" s="49" t="s">
        <v>146</v>
      </c>
      <c r="B30" s="22"/>
      <c r="C30" s="130" t="s">
        <v>142</v>
      </c>
      <c r="D30" s="131" t="n">
        <f aca="false">ROUND($C$27*(0.005/(0.3351+0.005)),4)</f>
        <v>0.005</v>
      </c>
      <c r="E30" s="22"/>
      <c r="F30" s="132" t="str">
        <f aca="false">F29</f>
        <v>Greater Of CPI Or 1.005</v>
      </c>
      <c r="H30" s="37" t="s">
        <v>147</v>
      </c>
      <c r="I30" s="39"/>
      <c r="J30" s="39"/>
      <c r="K30" s="133"/>
      <c r="L30" s="134"/>
      <c r="N30" s="37" t="s">
        <v>148</v>
      </c>
      <c r="O30" s="39"/>
      <c r="P30" s="39"/>
      <c r="Q30" s="39"/>
      <c r="R30" s="71" t="n">
        <v>2182.275</v>
      </c>
      <c r="S30" s="55"/>
      <c r="T30" s="72" t="s">
        <v>82</v>
      </c>
      <c r="U30" s="79" t="n">
        <f aca="false">IF(X30=0,0,X30+ROUND(((Startops2-Fin_Close)/365),2))</f>
        <v>0</v>
      </c>
      <c r="W30" s="74" t="s">
        <v>83</v>
      </c>
      <c r="X30" s="80" t="n">
        <v>0</v>
      </c>
    </row>
    <row r="31" customFormat="false" ht="13.5" hidden="false" customHeight="false" outlineLevel="0" collapsed="false">
      <c r="B31" s="39"/>
      <c r="C31" s="39"/>
      <c r="H31" s="37" t="s">
        <v>149</v>
      </c>
      <c r="I31" s="39"/>
      <c r="J31" s="39"/>
      <c r="K31" s="133"/>
      <c r="L31" s="134"/>
      <c r="N31" s="37" t="s">
        <v>150</v>
      </c>
      <c r="O31" s="39"/>
      <c r="P31" s="39"/>
      <c r="Q31" s="39"/>
      <c r="R31" s="111" t="n">
        <f aca="false">771.594</f>
        <v>771.594</v>
      </c>
      <c r="S31" s="55"/>
      <c r="T31" s="37" t="s">
        <v>89</v>
      </c>
      <c r="U31" s="108"/>
      <c r="V31" s="108"/>
      <c r="W31" s="112"/>
      <c r="X31" s="75" t="n">
        <f aca="false">IF(X27=0,0,ROUND(U29/2+(Term_C/12),1))</f>
        <v>0</v>
      </c>
    </row>
    <row r="32" customFormat="false" ht="13.5" hidden="false" customHeight="false" outlineLevel="0" collapsed="false">
      <c r="A32" s="24" t="s">
        <v>151</v>
      </c>
      <c r="B32" s="26"/>
      <c r="C32" s="26"/>
      <c r="D32" s="26"/>
      <c r="E32" s="128" t="s">
        <v>152</v>
      </c>
      <c r="F32" s="135" t="n">
        <f aca="false">Startops2</f>
        <v>37104</v>
      </c>
      <c r="H32" s="37" t="s">
        <v>153</v>
      </c>
      <c r="I32" s="39"/>
      <c r="J32" s="39"/>
      <c r="K32" s="133"/>
      <c r="L32" s="134"/>
      <c r="N32" s="82" t="s">
        <v>154</v>
      </c>
      <c r="O32" s="66"/>
      <c r="P32" s="66"/>
      <c r="Q32" s="39"/>
      <c r="R32" s="83" t="n">
        <f aca="false">SUM(R24:R31)</f>
        <v>14924.6920622624</v>
      </c>
      <c r="S32" s="55"/>
      <c r="T32" s="37" t="s">
        <v>93</v>
      </c>
      <c r="U32" s="108"/>
      <c r="V32" s="88" t="n">
        <v>0</v>
      </c>
      <c r="W32" s="88" t="n">
        <v>0</v>
      </c>
      <c r="X32" s="113" t="n">
        <f aca="false">W32+V32</f>
        <v>0</v>
      </c>
    </row>
    <row r="33" customFormat="false" ht="12.75" hidden="false" customHeight="false" outlineLevel="0" collapsed="false">
      <c r="A33" s="37"/>
      <c r="B33" s="39"/>
      <c r="C33" s="136" t="s">
        <v>155</v>
      </c>
      <c r="D33" s="133" t="s">
        <v>156</v>
      </c>
      <c r="E33" s="133"/>
      <c r="F33" s="137"/>
      <c r="H33" s="138" t="s">
        <v>157</v>
      </c>
      <c r="I33" s="139" t="n">
        <v>2013</v>
      </c>
      <c r="J33" s="39"/>
      <c r="K33" s="133"/>
      <c r="L33" s="134"/>
      <c r="N33" s="82"/>
      <c r="O33" s="66"/>
      <c r="P33" s="66"/>
      <c r="Q33" s="39"/>
      <c r="R33" s="87"/>
      <c r="S33" s="55"/>
      <c r="T33" s="72" t="s">
        <v>84</v>
      </c>
      <c r="U33" s="108"/>
      <c r="V33" s="116"/>
      <c r="W33" s="116"/>
      <c r="X33" s="95" t="n">
        <v>0</v>
      </c>
    </row>
    <row r="34" customFormat="false" ht="12.75" hidden="false" customHeight="false" outlineLevel="0" collapsed="false">
      <c r="A34" s="37"/>
      <c r="B34" s="140" t="s">
        <v>158</v>
      </c>
      <c r="C34" s="141" t="s">
        <v>159</v>
      </c>
      <c r="D34" s="140" t="s">
        <v>158</v>
      </c>
      <c r="E34" s="141" t="s">
        <v>160</v>
      </c>
      <c r="F34" s="142" t="s">
        <v>161</v>
      </c>
      <c r="H34" s="37"/>
      <c r="I34" s="39"/>
      <c r="J34" s="39"/>
      <c r="K34" s="39"/>
      <c r="L34" s="44"/>
      <c r="M34" s="143" t="n">
        <v>1</v>
      </c>
      <c r="N34" s="37" t="s">
        <v>162</v>
      </c>
      <c r="O34" s="98" t="n">
        <v>6259.7994006</v>
      </c>
      <c r="P34" s="99" t="s">
        <v>106</v>
      </c>
      <c r="Q34" s="98" t="n">
        <v>0</v>
      </c>
      <c r="R34" s="45" t="n">
        <f aca="false">SUM(O34,Q34)</f>
        <v>6259.7994006</v>
      </c>
      <c r="S34" s="55"/>
      <c r="T34" s="72" t="s">
        <v>77</v>
      </c>
      <c r="U34" s="108"/>
      <c r="V34" s="116"/>
      <c r="W34" s="116"/>
      <c r="X34" s="95" t="n">
        <v>0</v>
      </c>
    </row>
    <row r="35" customFormat="false" ht="13.5" hidden="false" customHeight="false" outlineLevel="0" collapsed="false">
      <c r="A35" s="49"/>
      <c r="B35" s="144" t="n">
        <v>102990</v>
      </c>
      <c r="C35" s="145" t="n">
        <v>0</v>
      </c>
      <c r="D35" s="146" t="n">
        <f aca="false">B35*((365-C35)/365)</f>
        <v>102990</v>
      </c>
      <c r="E35" s="147" t="n">
        <v>1</v>
      </c>
      <c r="F35" s="148" t="n">
        <f aca="false">D35*E35</f>
        <v>102990</v>
      </c>
      <c r="H35" s="37" t="s">
        <v>163</v>
      </c>
      <c r="I35" s="149" t="n">
        <v>1998</v>
      </c>
      <c r="J35" s="149" t="n">
        <v>2004</v>
      </c>
      <c r="K35" s="149" t="n">
        <v>2009</v>
      </c>
      <c r="L35" s="44"/>
      <c r="M35" s="143" t="n">
        <v>2</v>
      </c>
      <c r="N35" s="37" t="s">
        <v>164</v>
      </c>
      <c r="O35" s="98" t="n">
        <v>0</v>
      </c>
      <c r="P35" s="99" t="s">
        <v>106</v>
      </c>
      <c r="Q35" s="98" t="n">
        <v>0</v>
      </c>
      <c r="R35" s="45" t="n">
        <f aca="false">SUM(O35,Q35)</f>
        <v>0</v>
      </c>
      <c r="S35" s="96"/>
      <c r="T35" s="101" t="s">
        <v>165</v>
      </c>
      <c r="U35" s="102"/>
      <c r="V35" s="103"/>
      <c r="W35" s="103"/>
      <c r="X35" s="104"/>
    </row>
    <row r="36" customFormat="false" ht="13.5" hidden="false" customHeight="false" outlineLevel="0" collapsed="false">
      <c r="B36" s="39"/>
      <c r="C36" s="39"/>
      <c r="H36" s="49" t="s">
        <v>166</v>
      </c>
      <c r="I36" s="120" t="n">
        <v>0.375</v>
      </c>
      <c r="J36" s="120" t="n">
        <v>0.25</v>
      </c>
      <c r="K36" s="120" t="n">
        <v>0.125</v>
      </c>
      <c r="L36" s="122"/>
      <c r="N36" s="37" t="s">
        <v>167</v>
      </c>
      <c r="O36" s="150"/>
      <c r="P36" s="39"/>
      <c r="Q36" s="39"/>
      <c r="R36" s="111" t="n">
        <f aca="false">478.9+394</f>
        <v>872.9</v>
      </c>
      <c r="S36" s="151"/>
      <c r="T36" s="72" t="s">
        <v>62</v>
      </c>
      <c r="U36" s="108"/>
      <c r="V36" s="108"/>
      <c r="W36" s="64" t="n">
        <f aca="false">X36/Debt</f>
        <v>0</v>
      </c>
      <c r="X36" s="71" t="n">
        <v>0</v>
      </c>
    </row>
    <row r="37" customFormat="false" ht="13.5" hidden="false" customHeight="false" outlineLevel="0" collapsed="false">
      <c r="A37" s="152" t="s">
        <v>168</v>
      </c>
      <c r="B37" s="153"/>
      <c r="C37" s="26"/>
      <c r="D37" s="26"/>
      <c r="E37" s="29" t="s">
        <v>169</v>
      </c>
      <c r="F37" s="154" t="s">
        <v>170</v>
      </c>
      <c r="N37" s="82" t="s">
        <v>171</v>
      </c>
      <c r="O37" s="66"/>
      <c r="P37" s="66"/>
      <c r="Q37" s="39"/>
      <c r="R37" s="83" t="n">
        <f aca="false">SUM(R34:R36)</f>
        <v>7132.6994006</v>
      </c>
      <c r="S37" s="55"/>
      <c r="T37" s="72" t="s">
        <v>68</v>
      </c>
      <c r="U37" s="108"/>
      <c r="V37" s="108"/>
      <c r="W37" s="110"/>
      <c r="X37" s="68" t="n">
        <v>0</v>
      </c>
    </row>
    <row r="38" customFormat="false" ht="13.5" hidden="false" customHeight="false" outlineLevel="0" collapsed="false">
      <c r="A38" s="37"/>
      <c r="B38" s="39"/>
      <c r="C38" s="39"/>
      <c r="D38" s="39"/>
      <c r="E38" s="155"/>
      <c r="F38" s="44"/>
      <c r="H38" s="24" t="s">
        <v>172</v>
      </c>
      <c r="I38" s="26"/>
      <c r="J38" s="26"/>
      <c r="K38" s="26"/>
      <c r="L38" s="33"/>
      <c r="N38" s="82"/>
      <c r="O38" s="66"/>
      <c r="P38" s="66"/>
      <c r="Q38" s="39"/>
      <c r="R38" s="87"/>
      <c r="S38" s="55"/>
      <c r="T38" s="72" t="s">
        <v>74</v>
      </c>
      <c r="U38" s="73" t="n">
        <v>0</v>
      </c>
      <c r="W38" s="74" t="s">
        <v>75</v>
      </c>
      <c r="X38" s="75" t="n">
        <f aca="false">IF(U38=0,0,U38-ROUND(((Startops2-Fin_Close)/365),0)+X39/2)*2</f>
        <v>0</v>
      </c>
    </row>
    <row r="39" customFormat="false" ht="12.75" hidden="false" customHeight="false" outlineLevel="0" collapsed="false">
      <c r="A39" s="114" t="s">
        <v>173</v>
      </c>
      <c r="B39" s="39"/>
      <c r="C39" s="39"/>
      <c r="D39" s="39"/>
      <c r="E39" s="123" t="n">
        <v>1998</v>
      </c>
      <c r="F39" s="124" t="s">
        <v>139</v>
      </c>
      <c r="H39" s="37" t="s">
        <v>174</v>
      </c>
      <c r="I39" s="39"/>
      <c r="J39" s="40" t="s">
        <v>175</v>
      </c>
      <c r="K39" s="39"/>
      <c r="L39" s="44"/>
      <c r="N39" s="37" t="s">
        <v>176</v>
      </c>
      <c r="O39" s="54" t="s">
        <v>177</v>
      </c>
      <c r="P39" s="39"/>
      <c r="Q39" s="39"/>
      <c r="R39" s="111" t="n">
        <f aca="false">(SUM(E49-E48)/365*30+E48)*0</f>
        <v>0</v>
      </c>
      <c r="S39" s="55"/>
      <c r="T39" s="72" t="s">
        <v>82</v>
      </c>
      <c r="U39" s="79" t="n">
        <f aca="false">IF(X39=0,0,X39+ROUND(((Startops2-Fin_Close)/365),2))</f>
        <v>0</v>
      </c>
      <c r="W39" s="74" t="s">
        <v>83</v>
      </c>
      <c r="X39" s="80" t="n">
        <v>0</v>
      </c>
    </row>
    <row r="40" customFormat="false" ht="13.5" hidden="false" customHeight="false" outlineLevel="0" collapsed="false">
      <c r="A40" s="37" t="s">
        <v>178</v>
      </c>
      <c r="B40" s="39"/>
      <c r="C40" s="39"/>
      <c r="D40" s="39"/>
      <c r="E40" s="156" t="n">
        <f aca="false">174.548*[1]RAROC!$D$78</f>
        <v>174.548</v>
      </c>
      <c r="F40" s="157" t="str">
        <f aca="false">CPI</f>
        <v>CPI Annual</v>
      </c>
      <c r="H40" s="49" t="s">
        <v>179</v>
      </c>
      <c r="I40" s="22"/>
      <c r="J40" s="120" t="n">
        <v>0.37</v>
      </c>
      <c r="K40" s="22"/>
      <c r="L40" s="122"/>
      <c r="N40" s="82" t="s">
        <v>180</v>
      </c>
      <c r="O40" s="66"/>
      <c r="P40" s="66"/>
      <c r="Q40" s="39"/>
      <c r="R40" s="83" t="n">
        <f aca="false">SUM(R39)</f>
        <v>0</v>
      </c>
      <c r="S40" s="55"/>
      <c r="T40" s="37" t="s">
        <v>89</v>
      </c>
      <c r="U40" s="108"/>
      <c r="V40" s="108"/>
      <c r="W40" s="112"/>
      <c r="X40" s="75" t="n">
        <f aca="false">IF(X36=0,0,ROUND(U38/2+(Term_C/12),1))</f>
        <v>0</v>
      </c>
    </row>
    <row r="41" customFormat="false" ht="13.5" hidden="false" customHeight="false" outlineLevel="0" collapsed="false">
      <c r="A41" s="37" t="s">
        <v>181</v>
      </c>
      <c r="B41" s="39"/>
      <c r="C41" s="39"/>
      <c r="D41" s="39"/>
      <c r="E41" s="156" t="n">
        <f aca="false">54*[1]RAROC!$D$78</f>
        <v>54</v>
      </c>
      <c r="F41" s="157" t="str">
        <f aca="false">CPI</f>
        <v>CPI Annual</v>
      </c>
      <c r="N41" s="82"/>
      <c r="O41" s="66"/>
      <c r="P41" s="66"/>
      <c r="Q41" s="39"/>
      <c r="R41" s="87"/>
      <c r="S41" s="55"/>
      <c r="T41" s="37" t="s">
        <v>93</v>
      </c>
      <c r="U41" s="108"/>
      <c r="V41" s="88" t="n">
        <v>0</v>
      </c>
      <c r="W41" s="88" t="n">
        <v>0</v>
      </c>
      <c r="X41" s="113" t="n">
        <f aca="false">W41+V41</f>
        <v>0</v>
      </c>
    </row>
    <row r="42" customFormat="false" ht="13.5" hidden="false" customHeight="false" outlineLevel="0" collapsed="false">
      <c r="A42" s="37" t="s">
        <v>182</v>
      </c>
      <c r="B42" s="39"/>
      <c r="C42" s="39"/>
      <c r="D42" s="39"/>
      <c r="E42" s="156" t="n">
        <f aca="false">250*[1]RAROC!$D$78</f>
        <v>250</v>
      </c>
      <c r="F42" s="157" t="str">
        <f aca="false">CPI</f>
        <v>CPI Annual</v>
      </c>
      <c r="H42" s="24" t="s">
        <v>183</v>
      </c>
      <c r="I42" s="26"/>
      <c r="J42" s="35" t="s">
        <v>184</v>
      </c>
      <c r="K42" s="35" t="s">
        <v>185</v>
      </c>
      <c r="L42" s="36" t="s">
        <v>186</v>
      </c>
      <c r="N42" s="37" t="s">
        <v>187</v>
      </c>
      <c r="O42" s="158"/>
      <c r="P42" s="159"/>
      <c r="Q42" s="107"/>
      <c r="R42" s="71" t="n">
        <f aca="false">2286.6465</f>
        <v>2286.6465</v>
      </c>
      <c r="S42" s="96"/>
      <c r="T42" s="72" t="s">
        <v>84</v>
      </c>
      <c r="U42" s="108"/>
      <c r="V42" s="116"/>
      <c r="W42" s="116"/>
      <c r="X42" s="95" t="n">
        <v>0</v>
      </c>
    </row>
    <row r="43" customFormat="false" ht="12.75" hidden="false" customHeight="false" outlineLevel="0" collapsed="false">
      <c r="A43" s="37" t="s">
        <v>188</v>
      </c>
      <c r="B43" s="98" t="n">
        <v>600</v>
      </c>
      <c r="C43" s="39" t="s">
        <v>189</v>
      </c>
      <c r="D43" s="39"/>
      <c r="E43" s="156" t="n">
        <f aca="false">658.068*[1]RAROC!$D$78</f>
        <v>658.068</v>
      </c>
      <c r="F43" s="157" t="str">
        <f aca="false">CPI</f>
        <v>CPI Annual</v>
      </c>
      <c r="H43" s="37"/>
      <c r="I43" s="39"/>
      <c r="J43" s="155"/>
      <c r="K43" s="155"/>
      <c r="L43" s="160"/>
      <c r="N43" s="37" t="s">
        <v>190</v>
      </c>
      <c r="O43" s="39"/>
      <c r="P43" s="159"/>
      <c r="Q43" s="107"/>
      <c r="R43" s="111" t="n">
        <v>0</v>
      </c>
      <c r="S43" s="151"/>
      <c r="T43" s="72" t="s">
        <v>77</v>
      </c>
      <c r="U43" s="108"/>
      <c r="V43" s="116"/>
      <c r="W43" s="116"/>
      <c r="X43" s="95" t="n">
        <v>0</v>
      </c>
    </row>
    <row r="44" customFormat="false" ht="12.75" hidden="false" customHeight="false" outlineLevel="0" collapsed="false">
      <c r="A44" s="37" t="s">
        <v>191</v>
      </c>
      <c r="B44" s="98" t="n">
        <v>20</v>
      </c>
      <c r="C44" s="39" t="s">
        <v>192</v>
      </c>
      <c r="D44" s="39"/>
      <c r="E44" s="156" t="n">
        <f aca="false">7.2*[1]RAROC!$D$78</f>
        <v>7.2</v>
      </c>
      <c r="F44" s="157" t="str">
        <f aca="false">CPI</f>
        <v>CPI Annual</v>
      </c>
      <c r="H44" s="37" t="s">
        <v>193</v>
      </c>
      <c r="I44" s="39"/>
      <c r="J44" s="161" t="n">
        <f aca="false">Depr!D16</f>
        <v>126412.004643692</v>
      </c>
      <c r="K44" s="139" t="n">
        <v>20</v>
      </c>
      <c r="L44" s="160" t="s">
        <v>194</v>
      </c>
      <c r="N44" s="82" t="s">
        <v>195</v>
      </c>
      <c r="O44" s="66"/>
      <c r="P44" s="66"/>
      <c r="Q44" s="39"/>
      <c r="R44" s="83" t="n">
        <f aca="false">SUM(R42:R43)</f>
        <v>2286.6465</v>
      </c>
      <c r="S44" s="55"/>
      <c r="T44" s="101" t="s">
        <v>196</v>
      </c>
      <c r="U44" s="102"/>
      <c r="V44" s="103"/>
      <c r="W44" s="103"/>
      <c r="X44" s="104"/>
    </row>
    <row r="45" customFormat="false" ht="12.75" hidden="false" customHeight="false" outlineLevel="0" collapsed="false">
      <c r="A45" s="37" t="s">
        <v>197</v>
      </c>
      <c r="B45" s="39"/>
      <c r="C45" s="39"/>
      <c r="D45" s="39"/>
      <c r="E45" s="156" t="n">
        <v>0</v>
      </c>
      <c r="F45" s="157" t="str">
        <f aca="false">CPI</f>
        <v>CPI Annual</v>
      </c>
      <c r="H45" s="72" t="s">
        <v>198</v>
      </c>
      <c r="I45" s="108"/>
      <c r="J45" s="162" t="n">
        <f aca="false">Depr!F16</f>
        <v>126412.004643692</v>
      </c>
      <c r="K45" s="139" t="n">
        <v>20</v>
      </c>
      <c r="L45" s="163" t="s">
        <v>194</v>
      </c>
      <c r="N45" s="82"/>
      <c r="O45" s="66"/>
      <c r="P45" s="66"/>
      <c r="Q45" s="39"/>
      <c r="R45" s="164"/>
      <c r="S45" s="55"/>
      <c r="T45" s="72" t="s">
        <v>62</v>
      </c>
      <c r="U45" s="108"/>
      <c r="V45" s="108"/>
      <c r="W45" s="64" t="n">
        <f aca="false">X45/Debt</f>
        <v>0</v>
      </c>
      <c r="X45" s="71" t="n">
        <v>0</v>
      </c>
    </row>
    <row r="46" customFormat="false" ht="13.5" hidden="false" customHeight="false" outlineLevel="0" collapsed="false">
      <c r="A46" s="37" t="s">
        <v>199</v>
      </c>
      <c r="B46" s="39"/>
      <c r="C46" s="39"/>
      <c r="D46" s="39"/>
      <c r="E46" s="156" t="n">
        <f aca="false">169.312*[1]RAROC!$D$78</f>
        <v>169.312</v>
      </c>
      <c r="F46" s="157" t="str">
        <f aca="false">CPI</f>
        <v>CPI Annual</v>
      </c>
      <c r="H46" s="49" t="s">
        <v>200</v>
      </c>
      <c r="I46" s="22"/>
      <c r="J46" s="165" t="n">
        <f aca="false">Depr!H16</f>
        <v>126412.004643692</v>
      </c>
      <c r="K46" s="166" t="n">
        <v>20</v>
      </c>
      <c r="L46" s="167" t="s">
        <v>194</v>
      </c>
      <c r="N46" s="168" t="s">
        <v>201</v>
      </c>
      <c r="O46" s="169"/>
      <c r="P46" s="169"/>
      <c r="Q46" s="170"/>
      <c r="R46" s="171" t="n">
        <f aca="false">SUM(R13,R22,R32,R37,R40,R44)</f>
        <v>126558.004643692</v>
      </c>
      <c r="S46" s="55"/>
      <c r="T46" s="72" t="s">
        <v>68</v>
      </c>
      <c r="U46" s="108"/>
      <c r="V46" s="108"/>
      <c r="W46" s="110"/>
      <c r="X46" s="68" t="n">
        <v>0</v>
      </c>
    </row>
    <row r="47" customFormat="false" ht="13.5" hidden="false" customHeight="false" outlineLevel="0" collapsed="false">
      <c r="A47" s="37" t="s">
        <v>202</v>
      </c>
      <c r="B47" s="172"/>
      <c r="C47" s="173"/>
      <c r="D47" s="133" t="s">
        <v>156</v>
      </c>
      <c r="E47" s="174" t="n">
        <f aca="false">Trapped!$AA$43/(Trapped!$AA$9/12)</f>
        <v>54.8256880733945</v>
      </c>
      <c r="F47" s="157" t="str">
        <f aca="false">CPI</f>
        <v>CPI Annual</v>
      </c>
      <c r="N47" s="175" t="s">
        <v>203</v>
      </c>
      <c r="O47" s="22"/>
      <c r="P47" s="22"/>
      <c r="Q47" s="22"/>
      <c r="R47" s="176" t="n">
        <f aca="false">Cost/Capacity</f>
        <v>1.22883779632675</v>
      </c>
      <c r="S47" s="96"/>
      <c r="T47" s="72" t="s">
        <v>74</v>
      </c>
      <c r="U47" s="73" t="n">
        <v>0</v>
      </c>
      <c r="W47" s="74" t="s">
        <v>75</v>
      </c>
      <c r="X47" s="75" t="n">
        <f aca="false">IF(U47=0,0,U47-ROUND(((Startops2-Fin_Close)/365),0)+X48/2)*2</f>
        <v>0</v>
      </c>
    </row>
    <row r="48" customFormat="false" ht="13.5" hidden="false" customHeight="false" outlineLevel="0" collapsed="false">
      <c r="A48" s="37" t="s">
        <v>204</v>
      </c>
      <c r="B48" s="39"/>
      <c r="C48" s="39"/>
      <c r="D48" s="39"/>
      <c r="E48" s="177" t="n">
        <f aca="false">370.836*[1]RAROC!$D$78</f>
        <v>370.836</v>
      </c>
      <c r="F48" s="157" t="str">
        <f aca="false">CPI</f>
        <v>CPI Annual</v>
      </c>
      <c r="H48" s="24" t="s">
        <v>205</v>
      </c>
      <c r="I48" s="26"/>
      <c r="J48" s="178"/>
      <c r="K48" s="178"/>
      <c r="L48" s="179"/>
      <c r="S48" s="151"/>
      <c r="T48" s="72" t="s">
        <v>82</v>
      </c>
      <c r="U48" s="79" t="n">
        <f aca="false">IF(X48=0,0,X48+ROUND(((Startops2-Fin_Close)/365),2))</f>
        <v>0</v>
      </c>
      <c r="W48" s="74" t="s">
        <v>83</v>
      </c>
      <c r="X48" s="80" t="n">
        <v>0</v>
      </c>
    </row>
    <row r="49" customFormat="false" ht="13.5" hidden="false" customHeight="false" outlineLevel="0" collapsed="false">
      <c r="A49" s="49" t="s">
        <v>206</v>
      </c>
      <c r="B49" s="22"/>
      <c r="C49" s="22"/>
      <c r="D49" s="22"/>
      <c r="E49" s="180" t="n">
        <f aca="false">SUM(E40:E48)</f>
        <v>1738.78968807339</v>
      </c>
      <c r="F49" s="181" t="str">
        <f aca="false">CPI</f>
        <v>CPI Annual</v>
      </c>
      <c r="H49" s="37" t="s">
        <v>207</v>
      </c>
      <c r="I49" s="39"/>
      <c r="J49" s="182"/>
      <c r="K49" s="182"/>
      <c r="L49" s="183"/>
      <c r="N49" s="152" t="s">
        <v>208</v>
      </c>
      <c r="O49" s="184"/>
      <c r="P49" s="26"/>
      <c r="Q49" s="26"/>
      <c r="R49" s="33"/>
      <c r="S49" s="55"/>
      <c r="T49" s="37" t="s">
        <v>89</v>
      </c>
      <c r="U49" s="108"/>
      <c r="V49" s="108"/>
      <c r="W49" s="112"/>
      <c r="X49" s="75" t="n">
        <f aca="false">IF(X45=0,0,ROUND(U47/2+(Term_C/12),1))</f>
        <v>0</v>
      </c>
    </row>
    <row r="50" customFormat="false" ht="13.5" hidden="false" customHeight="false" outlineLevel="0" collapsed="false">
      <c r="H50" s="37" t="s">
        <v>209</v>
      </c>
      <c r="I50" s="39"/>
      <c r="J50" s="182"/>
      <c r="K50" s="182"/>
      <c r="L50" s="185" t="n">
        <v>0</v>
      </c>
      <c r="N50" s="186"/>
      <c r="O50" s="182"/>
      <c r="P50" s="46" t="s">
        <v>210</v>
      </c>
      <c r="Q50" s="46" t="s">
        <v>211</v>
      </c>
      <c r="R50" s="124" t="s">
        <v>212</v>
      </c>
      <c r="S50" s="55"/>
      <c r="T50" s="37" t="s">
        <v>93</v>
      </c>
      <c r="U50" s="108"/>
      <c r="V50" s="88" t="n">
        <v>0</v>
      </c>
      <c r="W50" s="88" t="n">
        <v>0</v>
      </c>
      <c r="X50" s="113" t="n">
        <f aca="false">W50+V50</f>
        <v>0</v>
      </c>
    </row>
    <row r="51" customFormat="false" ht="13.5" hidden="false" customHeight="false" outlineLevel="0" collapsed="false">
      <c r="A51" s="152" t="s">
        <v>213</v>
      </c>
      <c r="B51" s="153"/>
      <c r="C51" s="187" t="s">
        <v>214</v>
      </c>
      <c r="D51" s="26"/>
      <c r="E51" s="26"/>
      <c r="F51" s="33"/>
      <c r="H51" s="37" t="s">
        <v>215</v>
      </c>
      <c r="I51" s="39"/>
      <c r="J51" s="182"/>
      <c r="K51" s="182"/>
      <c r="L51" s="185" t="n">
        <v>1</v>
      </c>
      <c r="N51" s="188" t="s">
        <v>216</v>
      </c>
      <c r="O51" s="182"/>
      <c r="P51" s="189" t="n">
        <f aca="false">[1]!GasMat_Disc</f>
        <v>0.19</v>
      </c>
      <c r="Q51" s="190" t="n">
        <f aca="false">Returns!C22</f>
        <v>0.0909136813663655</v>
      </c>
      <c r="R51" s="191" t="n">
        <f aca="false">Returns!C21</f>
        <v>-28234.245740359</v>
      </c>
      <c r="S51" s="55"/>
      <c r="T51" s="72" t="s">
        <v>84</v>
      </c>
      <c r="U51" s="108"/>
      <c r="V51" s="116"/>
      <c r="W51" s="116"/>
      <c r="X51" s="95" t="n">
        <v>0</v>
      </c>
    </row>
    <row r="52" customFormat="false" ht="12.75" hidden="false" customHeight="false" outlineLevel="0" collapsed="false">
      <c r="A52" s="37"/>
      <c r="B52" s="39"/>
      <c r="C52" s="105" t="s">
        <v>217</v>
      </c>
      <c r="D52" s="39"/>
      <c r="E52" s="39"/>
      <c r="F52" s="44"/>
      <c r="H52" s="37" t="s">
        <v>218</v>
      </c>
      <c r="I52" s="39"/>
      <c r="J52" s="182"/>
      <c r="K52" s="182"/>
      <c r="L52" s="185" t="n">
        <v>1</v>
      </c>
      <c r="N52" s="186"/>
      <c r="O52" s="182"/>
      <c r="P52" s="47"/>
      <c r="Q52" s="70" t="n">
        <v>0.15</v>
      </c>
      <c r="R52" s="192" t="s">
        <v>219</v>
      </c>
      <c r="S52" s="55"/>
      <c r="T52" s="72" t="s">
        <v>77</v>
      </c>
      <c r="U52" s="108"/>
      <c r="V52" s="116"/>
      <c r="W52" s="116"/>
      <c r="X52" s="95" t="n">
        <v>0</v>
      </c>
    </row>
    <row r="53" customFormat="false" ht="12.75" hidden="false" customHeight="false" outlineLevel="0" collapsed="false">
      <c r="A53" s="37"/>
      <c r="B53" s="39"/>
      <c r="C53" s="39"/>
      <c r="D53" s="39"/>
      <c r="E53" s="39"/>
      <c r="F53" s="44"/>
      <c r="H53" s="37"/>
      <c r="I53" s="39"/>
      <c r="J53" s="182"/>
      <c r="K53" s="182"/>
      <c r="L53" s="183"/>
      <c r="N53" s="186"/>
      <c r="O53" s="182"/>
      <c r="P53" s="39"/>
      <c r="Q53" s="39"/>
      <c r="R53" s="44"/>
      <c r="S53" s="193"/>
      <c r="T53" s="101" t="s">
        <v>220</v>
      </c>
      <c r="U53" s="102"/>
      <c r="V53" s="103"/>
      <c r="W53" s="103"/>
      <c r="X53" s="104"/>
    </row>
    <row r="54" customFormat="false" ht="12.75" hidden="false" customHeight="false" outlineLevel="0" collapsed="false">
      <c r="A54" s="37" t="s">
        <v>221</v>
      </c>
      <c r="B54" s="39"/>
      <c r="C54" s="194" t="n">
        <v>0</v>
      </c>
      <c r="D54" s="39" t="s">
        <v>222</v>
      </c>
      <c r="E54" s="39"/>
      <c r="F54" s="195" t="n">
        <v>2004</v>
      </c>
      <c r="H54" s="37" t="s">
        <v>223</v>
      </c>
      <c r="I54" s="39"/>
      <c r="J54" s="182"/>
      <c r="K54" s="182"/>
      <c r="L54" s="196" t="n">
        <v>0.05</v>
      </c>
      <c r="N54" s="186" t="str">
        <f aca="false">H68</f>
        <v>Enron</v>
      </c>
      <c r="O54" s="182"/>
      <c r="P54" s="107" t="n">
        <f aca="false">Disc</f>
        <v>0.19</v>
      </c>
      <c r="Q54" s="107" t="e">
        <f aca="false">Returns!C64</f>
        <v>#N/A</v>
      </c>
      <c r="R54" s="65" t="n">
        <f aca="false">Returns!C63</f>
        <v>-13071.75821692</v>
      </c>
      <c r="S54" s="197"/>
      <c r="T54" s="72" t="s">
        <v>62</v>
      </c>
      <c r="U54" s="108"/>
      <c r="V54" s="108"/>
      <c r="W54" s="64" t="n">
        <f aca="false">X54/Debt</f>
        <v>0.283041349178915</v>
      </c>
      <c r="X54" s="45" t="n">
        <f aca="false">X69</f>
        <v>21492.6890302453</v>
      </c>
    </row>
    <row r="55" customFormat="false" ht="13.5" hidden="false" customHeight="false" outlineLevel="0" collapsed="false">
      <c r="A55" s="49"/>
      <c r="B55" s="22"/>
      <c r="C55" s="22"/>
      <c r="D55" s="22" t="s">
        <v>224</v>
      </c>
      <c r="E55" s="22"/>
      <c r="F55" s="198" t="n">
        <v>5000</v>
      </c>
      <c r="H55" s="49" t="s">
        <v>225</v>
      </c>
      <c r="I55" s="22"/>
      <c r="J55" s="199"/>
      <c r="K55" s="199"/>
      <c r="L55" s="200" t="n">
        <v>0.06</v>
      </c>
      <c r="N55" s="186" t="str">
        <f aca="false">H69</f>
        <v>Shell</v>
      </c>
      <c r="O55" s="182"/>
      <c r="P55" s="107" t="n">
        <f aca="false">Disc</f>
        <v>0.19</v>
      </c>
      <c r="Q55" s="107" t="n">
        <f aca="false">Returns!C101</f>
        <v>0.0956886762812887</v>
      </c>
      <c r="R55" s="65" t="n">
        <f aca="false">Returns!C100</f>
        <v>-10146.4182919475</v>
      </c>
      <c r="S55" s="151"/>
      <c r="T55" s="72" t="s">
        <v>68</v>
      </c>
      <c r="U55" s="108"/>
      <c r="V55" s="108"/>
      <c r="W55" s="110"/>
      <c r="X55" s="68" t="n">
        <v>2</v>
      </c>
    </row>
    <row r="56" customFormat="false" ht="13.5" hidden="false" customHeight="false" outlineLevel="0" collapsed="false">
      <c r="N56" s="186" t="str">
        <f aca="false">H70</f>
        <v>Transredes</v>
      </c>
      <c r="O56" s="182"/>
      <c r="P56" s="107" t="n">
        <f aca="false">Disc</f>
        <v>0.19</v>
      </c>
      <c r="Q56" s="107" t="n">
        <f aca="false">Returns!C121</f>
        <v>0.107373497832615</v>
      </c>
      <c r="R56" s="201" t="n">
        <f aca="false">Returns!C120</f>
        <v>-2917.2842601764</v>
      </c>
      <c r="S56" s="55"/>
      <c r="T56" s="72" t="s">
        <v>74</v>
      </c>
      <c r="U56" s="73" t="n">
        <v>12</v>
      </c>
      <c r="W56" s="74" t="s">
        <v>75</v>
      </c>
      <c r="X56" s="75" t="n">
        <f aca="false">IF(U56=0,0,U56-ROUND(((Startops2-Fin_Close)/365),0)+X57/2)*2</f>
        <v>23</v>
      </c>
    </row>
    <row r="57" customFormat="false" ht="13.5" hidden="false" customHeight="false" outlineLevel="0" collapsed="false">
      <c r="A57" s="24" t="str">
        <f aca="false">PROPER("Fuel CONVERSION")</f>
        <v>Fuel Conversion</v>
      </c>
      <c r="B57" s="26"/>
      <c r="C57" s="26"/>
      <c r="D57" s="26"/>
      <c r="E57" s="26"/>
      <c r="F57" s="33"/>
      <c r="H57" s="24" t="s">
        <v>226</v>
      </c>
      <c r="I57" s="202"/>
      <c r="J57" s="203" t="s">
        <v>227</v>
      </c>
      <c r="K57" s="203"/>
      <c r="L57" s="204" t="n">
        <v>1.065</v>
      </c>
      <c r="N57" s="186" t="s">
        <v>228</v>
      </c>
      <c r="O57" s="182"/>
      <c r="P57" s="182"/>
      <c r="Q57" s="182"/>
      <c r="R57" s="65" t="n">
        <f aca="false">SUM(R54:R56)</f>
        <v>-26135.4607690439</v>
      </c>
      <c r="S57" s="55"/>
      <c r="T57" s="72" t="s">
        <v>82</v>
      </c>
      <c r="U57" s="79" t="n">
        <f aca="false">IF(X57=0,0,X57+ROUND(((Startops2-Fin_Close)/365),2))</f>
        <v>1.92</v>
      </c>
      <c r="W57" s="74" t="s">
        <v>83</v>
      </c>
      <c r="X57" s="80" t="n">
        <v>1</v>
      </c>
    </row>
    <row r="58" customFormat="false" ht="13.5" hidden="false" customHeight="false" outlineLevel="0" collapsed="false">
      <c r="A58" s="37"/>
      <c r="B58" s="39"/>
      <c r="C58" s="39"/>
      <c r="D58" s="205" t="s">
        <v>62</v>
      </c>
      <c r="E58" s="205" t="s">
        <v>229</v>
      </c>
      <c r="F58" s="44"/>
      <c r="H58" s="49"/>
      <c r="I58" s="22"/>
      <c r="J58" s="130" t="s">
        <v>230</v>
      </c>
      <c r="K58" s="206"/>
      <c r="L58" s="207" t="n">
        <v>0</v>
      </c>
      <c r="N58" s="186"/>
      <c r="O58" s="182"/>
      <c r="P58" s="182"/>
      <c r="Q58" s="182"/>
      <c r="R58" s="65"/>
      <c r="S58" s="55"/>
      <c r="T58" s="37" t="s">
        <v>89</v>
      </c>
      <c r="U58" s="108"/>
      <c r="V58" s="108"/>
      <c r="W58" s="112"/>
      <c r="X58" s="75" t="n">
        <f aca="false">IF(X54=0,0,ROUND(U56/2+(Term_C/12),1))</f>
        <v>8.9</v>
      </c>
    </row>
    <row r="59" customFormat="false" ht="13.5" hidden="false" customHeight="false" outlineLevel="0" collapsed="false">
      <c r="A59" s="37" t="s">
        <v>231</v>
      </c>
      <c r="B59" s="39"/>
      <c r="C59" s="47" t="s">
        <v>232</v>
      </c>
      <c r="D59" s="208" t="n">
        <v>9.2</v>
      </c>
      <c r="E59" s="155" t="s">
        <v>233</v>
      </c>
      <c r="F59" s="44"/>
      <c r="H59" s="39"/>
      <c r="I59" s="39"/>
      <c r="J59" s="47"/>
      <c r="K59" s="39"/>
      <c r="L59" s="209"/>
      <c r="N59" s="186" t="s">
        <v>234</v>
      </c>
      <c r="O59" s="182"/>
      <c r="P59" s="182"/>
      <c r="Q59" s="210" t="s">
        <v>235</v>
      </c>
      <c r="R59" s="65" t="n">
        <f aca="false">-(Returns!AB28+Returns!AB86+Returns!AB106)</f>
        <v>-0</v>
      </c>
      <c r="S59" s="211"/>
      <c r="T59" s="37" t="s">
        <v>93</v>
      </c>
      <c r="U59" s="108"/>
      <c r="V59" s="108"/>
      <c r="W59" s="108"/>
      <c r="X59" s="95" t="n">
        <v>0.13</v>
      </c>
    </row>
    <row r="60" customFormat="false" ht="13.5" hidden="false" customHeight="false" outlineLevel="0" collapsed="false">
      <c r="A60" s="37"/>
      <c r="B60" s="39"/>
      <c r="C60" s="47" t="s">
        <v>236</v>
      </c>
      <c r="D60" s="212" t="n">
        <v>3.9683</v>
      </c>
      <c r="E60" s="155" t="s">
        <v>237</v>
      </c>
      <c r="F60" s="44"/>
      <c r="H60" s="24" t="s">
        <v>238</v>
      </c>
      <c r="I60" s="213"/>
      <c r="J60" s="214"/>
      <c r="K60" s="26"/>
      <c r="L60" s="215"/>
      <c r="N60" s="186" t="s">
        <v>239</v>
      </c>
      <c r="O60" s="182"/>
      <c r="P60" s="182"/>
      <c r="Q60" s="210"/>
      <c r="R60" s="65" t="n">
        <f aca="false">Returns!AB13</f>
        <v>-27.3224423572243</v>
      </c>
      <c r="S60" s="151"/>
      <c r="T60" s="72" t="s">
        <v>84</v>
      </c>
      <c r="U60" s="108"/>
      <c r="V60" s="116"/>
      <c r="W60" s="116"/>
      <c r="X60" s="95" t="n">
        <v>0</v>
      </c>
    </row>
    <row r="61" customFormat="false" ht="13.5" hidden="false" customHeight="false" outlineLevel="0" collapsed="false">
      <c r="A61" s="49"/>
      <c r="B61" s="22"/>
      <c r="C61" s="130" t="s">
        <v>240</v>
      </c>
      <c r="D61" s="216" t="n">
        <f aca="false">D59*D60</f>
        <v>36.50836</v>
      </c>
      <c r="E61" s="217" t="s">
        <v>241</v>
      </c>
      <c r="F61" s="122"/>
      <c r="H61" s="218" t="s">
        <v>242</v>
      </c>
      <c r="I61" s="219"/>
      <c r="J61" s="219"/>
      <c r="K61" s="219"/>
      <c r="L61" s="220" t="n">
        <f aca="false">'[3]Monthly Curve Calc.'!$F$12</f>
        <v>0</v>
      </c>
      <c r="N61" s="186" t="s">
        <v>243</v>
      </c>
      <c r="O61" s="182"/>
      <c r="P61" s="182"/>
      <c r="Q61" s="210" t="s">
        <v>235</v>
      </c>
      <c r="R61" s="65" t="n">
        <f aca="false">-Returns!AB38</f>
        <v>413.219649837633</v>
      </c>
      <c r="S61" s="151"/>
      <c r="T61" s="218" t="s">
        <v>77</v>
      </c>
      <c r="U61" s="219"/>
      <c r="V61" s="221"/>
      <c r="W61" s="221"/>
      <c r="X61" s="222" t="n">
        <v>0</v>
      </c>
    </row>
    <row r="62" customFormat="false" ht="13.5" hidden="false" customHeight="false" outlineLevel="0" collapsed="false">
      <c r="N62" s="186" t="s">
        <v>244</v>
      </c>
      <c r="O62" s="182"/>
      <c r="P62" s="182"/>
      <c r="Q62" s="210" t="s">
        <v>235</v>
      </c>
      <c r="R62" s="65" t="n">
        <f aca="false">-Returns!AB31-Returns!AB89-Returns!AB109</f>
        <v>-1868.46078597723</v>
      </c>
    </row>
    <row r="63" customFormat="false" ht="13.5" hidden="false" customHeight="false" outlineLevel="0" collapsed="false">
      <c r="H63" s="24" t="s">
        <v>245</v>
      </c>
      <c r="I63" s="26"/>
      <c r="J63" s="26"/>
      <c r="K63" s="26"/>
      <c r="L63" s="33"/>
      <c r="N63" s="186" t="s">
        <v>246</v>
      </c>
      <c r="O63" s="182"/>
      <c r="P63" s="182"/>
      <c r="Q63" s="210" t="s">
        <v>235</v>
      </c>
      <c r="R63" s="65" t="n">
        <f aca="false">-Returns!AB39</f>
        <v>-4257.09700880494</v>
      </c>
      <c r="T63" s="24" t="s">
        <v>247</v>
      </c>
      <c r="U63" s="26" t="s">
        <v>248</v>
      </c>
      <c r="V63" s="26"/>
      <c r="W63" s="26"/>
      <c r="X63" s="223" t="n">
        <v>25</v>
      </c>
    </row>
    <row r="64" customFormat="false" ht="12.75" hidden="false" customHeight="false" outlineLevel="0" collapsed="false">
      <c r="H64" s="37" t="s">
        <v>249</v>
      </c>
      <c r="I64" s="53" t="n">
        <v>0.5</v>
      </c>
      <c r="J64" s="39" t="s">
        <v>250</v>
      </c>
      <c r="K64" s="39"/>
      <c r="L64" s="44"/>
      <c r="N64" s="186" t="s">
        <v>251</v>
      </c>
      <c r="O64" s="182"/>
      <c r="P64" s="182"/>
      <c r="Q64" s="210" t="s">
        <v>235</v>
      </c>
      <c r="R64" s="65" t="n">
        <f aca="false">-Returns!AB40</f>
        <v>638.564551320741</v>
      </c>
      <c r="T64" s="37"/>
      <c r="U64" s="39" t="s">
        <v>252</v>
      </c>
      <c r="V64" s="39"/>
      <c r="W64" s="224" t="n">
        <v>0.2</v>
      </c>
      <c r="X64" s="65" t="n">
        <f aca="false">W64*X63</f>
        <v>5</v>
      </c>
    </row>
    <row r="65" customFormat="false" ht="13.5" hidden="false" customHeight="false" outlineLevel="0" collapsed="false">
      <c r="H65" s="225"/>
      <c r="I65" s="120" t="n">
        <v>0.1</v>
      </c>
      <c r="J65" s="22" t="s">
        <v>253</v>
      </c>
      <c r="K65" s="22"/>
      <c r="L65" s="122"/>
      <c r="N65" s="186" t="s">
        <v>254</v>
      </c>
      <c r="O65" s="182"/>
      <c r="P65" s="182"/>
      <c r="Q65" s="210" t="s">
        <v>235</v>
      </c>
      <c r="R65" s="65" t="n">
        <f aca="false">-Returns!AB35</f>
        <v>-0</v>
      </c>
      <c r="T65" s="49"/>
      <c r="U65" s="22" t="s">
        <v>255</v>
      </c>
      <c r="V65" s="22"/>
      <c r="W65" s="226" t="n">
        <f aca="false">YEAR(Fin_Close)+U11</f>
        <v>2015</v>
      </c>
      <c r="X65" s="227"/>
    </row>
    <row r="66" customFormat="false" ht="13.5" hidden="false" customHeight="false" outlineLevel="0" collapsed="false">
      <c r="N66" s="186" t="s">
        <v>256</v>
      </c>
      <c r="O66" s="182"/>
      <c r="P66" s="182"/>
      <c r="Q66" s="210" t="s">
        <v>235</v>
      </c>
      <c r="R66" s="65" t="n">
        <f aca="false">-(Returns!AB34+Returns!AB92+Returns!AB112)</f>
        <v>-0</v>
      </c>
    </row>
    <row r="67" customFormat="false" ht="13.5" hidden="false" customHeight="false" outlineLevel="0" collapsed="false">
      <c r="H67" s="24" t="s">
        <v>257</v>
      </c>
      <c r="I67" s="26"/>
      <c r="J67" s="27" t="s">
        <v>258</v>
      </c>
      <c r="K67" s="27" t="s">
        <v>259</v>
      </c>
      <c r="L67" s="228" t="s">
        <v>260</v>
      </c>
      <c r="N67" s="186" t="s">
        <v>261</v>
      </c>
      <c r="O67" s="182"/>
      <c r="P67" s="182"/>
      <c r="Q67" s="210" t="s">
        <v>235</v>
      </c>
      <c r="R67" s="65" t="n">
        <f aca="false">-Returns!AB36</f>
        <v>46.5139582183261</v>
      </c>
      <c r="T67" s="24" t="s">
        <v>262</v>
      </c>
      <c r="U67" s="26"/>
      <c r="V67" s="26"/>
      <c r="W67" s="26"/>
      <c r="X67" s="33"/>
    </row>
    <row r="68" customFormat="false" ht="12.75" hidden="false" customHeight="false" outlineLevel="0" collapsed="false">
      <c r="H68" s="37" t="s">
        <v>263</v>
      </c>
      <c r="I68" s="39"/>
      <c r="J68" s="229" t="n">
        <f aca="false">K68*Equity</f>
        <v>14565.2564136159</v>
      </c>
      <c r="K68" s="230" t="n">
        <f aca="false">1-K69-K70</f>
        <v>0.5</v>
      </c>
      <c r="L68" s="231" t="n">
        <f aca="false">1-L69-L70</f>
        <v>0.5</v>
      </c>
      <c r="N68" s="186" t="s">
        <v>264</v>
      </c>
      <c r="O68" s="182"/>
      <c r="P68" s="182"/>
      <c r="Q68" s="210" t="s">
        <v>235</v>
      </c>
      <c r="R68" s="65" t="n">
        <f aca="false">-Returns!AB37</f>
        <v>355.209291656865</v>
      </c>
      <c r="T68" s="232" t="s">
        <v>265</v>
      </c>
      <c r="U68" s="39"/>
      <c r="V68" s="39"/>
      <c r="W68" s="233" t="n">
        <f aca="false">1-Equity_Perc-Subdebt_Perc</f>
        <v>0.6</v>
      </c>
      <c r="X68" s="65" t="n">
        <f aca="false">Cost*Debt_Perc</f>
        <v>75934.8027862155</v>
      </c>
      <c r="Z68" s="1" t="n">
        <f aca="false">0.3*Cost</f>
        <v>37967.4013931077</v>
      </c>
    </row>
    <row r="69" customFormat="false" ht="12.75" hidden="false" customHeight="false" outlineLevel="0" collapsed="false">
      <c r="H69" s="37" t="s">
        <v>266</v>
      </c>
      <c r="I69" s="39"/>
      <c r="J69" s="229" t="n">
        <f aca="false">K69*Equity</f>
        <v>10923.9423102119</v>
      </c>
      <c r="K69" s="234" t="n">
        <v>0.375</v>
      </c>
      <c r="L69" s="235" t="n">
        <v>0.375</v>
      </c>
      <c r="N69" s="186" t="s">
        <v>267</v>
      </c>
      <c r="O69" s="182"/>
      <c r="P69" s="182"/>
      <c r="Q69" s="210" t="s">
        <v>235</v>
      </c>
      <c r="R69" s="65" t="n">
        <f aca="false">-Returns!AB113</f>
        <v>-737.865349956771</v>
      </c>
      <c r="T69" s="37" t="s">
        <v>268</v>
      </c>
      <c r="U69" s="39"/>
      <c r="V69" s="39"/>
      <c r="W69" s="233" t="n">
        <f aca="false">0.4-Equity_Perc</f>
        <v>0.169824809507349</v>
      </c>
      <c r="X69" s="65" t="n">
        <f aca="false">Cost*Subdebt_Perc</f>
        <v>21492.6890302453</v>
      </c>
      <c r="Z69" s="1" t="n">
        <f aca="false">Equity</f>
        <v>29130.5128272317</v>
      </c>
    </row>
    <row r="70" customFormat="false" ht="12.75" hidden="false" customHeight="false" outlineLevel="0" collapsed="false">
      <c r="H70" s="37" t="s">
        <v>269</v>
      </c>
      <c r="I70" s="39"/>
      <c r="J70" s="236" t="n">
        <f aca="false">K70*Equity</f>
        <v>3641.31410340396</v>
      </c>
      <c r="K70" s="237" t="n">
        <v>0.125</v>
      </c>
      <c r="L70" s="238" t="n">
        <v>0.125</v>
      </c>
      <c r="N70" s="186" t="s">
        <v>270</v>
      </c>
      <c r="O70" s="182"/>
      <c r="P70" s="182"/>
      <c r="Q70" s="182"/>
      <c r="R70" s="65" t="n">
        <f aca="false">-Returns!AB41-Returns!AB94-Returns!AB114</f>
        <v>2001.66880667099</v>
      </c>
      <c r="T70" s="37" t="s">
        <v>271</v>
      </c>
      <c r="U70" s="39"/>
      <c r="V70" s="39"/>
      <c r="W70" s="239" t="n">
        <f aca="false">IDC!$AO$60/Cost</f>
        <v>0.230175190492651</v>
      </c>
      <c r="X70" s="201" t="n">
        <f aca="false">Cost*Equity_Perc</f>
        <v>29130.5128272317</v>
      </c>
      <c r="Y70" s="1" t="s">
        <v>272</v>
      </c>
      <c r="Z70" s="1" t="n">
        <f aca="false">Z68-Z69</f>
        <v>8836.88856587603</v>
      </c>
    </row>
    <row r="71" customFormat="false" ht="13.5" hidden="false" customHeight="false" outlineLevel="0" collapsed="false">
      <c r="H71" s="49" t="s">
        <v>273</v>
      </c>
      <c r="I71" s="22"/>
      <c r="J71" s="240" t="n">
        <f aca="false">SUM(J68:J70)</f>
        <v>29130.5128272317</v>
      </c>
      <c r="K71" s="241" t="n">
        <f aca="false">SUM(K68:K70)</f>
        <v>1</v>
      </c>
      <c r="L71" s="242" t="n">
        <f aca="false">SUM(L68:L70)</f>
        <v>1</v>
      </c>
      <c r="N71" s="186" t="s">
        <v>274</v>
      </c>
      <c r="O71" s="182"/>
      <c r="P71" s="182"/>
      <c r="Q71" s="182"/>
      <c r="R71" s="65" t="n">
        <f aca="false">-Returns!AB52</f>
        <v>27736.6870102134</v>
      </c>
      <c r="T71" s="243" t="s">
        <v>275</v>
      </c>
      <c r="U71" s="244"/>
      <c r="V71" s="244"/>
      <c r="W71" s="245" t="n">
        <f aca="false">SUM(W68:W70)</f>
        <v>1</v>
      </c>
      <c r="X71" s="246" t="n">
        <f aca="false">SUM(X68:X70)</f>
        <v>126558.004643692</v>
      </c>
    </row>
    <row r="72" customFormat="false" ht="13.5" hidden="false" customHeight="false" outlineLevel="0" collapsed="false">
      <c r="N72" s="186" t="s">
        <v>276</v>
      </c>
      <c r="O72" s="182"/>
      <c r="P72" s="182"/>
      <c r="Q72" s="182"/>
      <c r="R72" s="65" t="n">
        <f aca="false">-Returns!AB53</f>
        <v>-25910.7349447169</v>
      </c>
      <c r="T72" s="37" t="s">
        <v>277</v>
      </c>
      <c r="U72" s="39"/>
      <c r="V72" s="39"/>
      <c r="W72" s="39"/>
      <c r="X72" s="247" t="n">
        <f aca="false">MAX(X11,X20,X29,X38,X47,X56)</f>
        <v>29</v>
      </c>
    </row>
    <row r="73" customFormat="false" ht="13.5" hidden="false" customHeight="false" outlineLevel="0" collapsed="false">
      <c r="H73" s="24" t="s">
        <v>278</v>
      </c>
      <c r="I73" s="35" t="s">
        <v>263</v>
      </c>
      <c r="J73" s="35" t="s">
        <v>266</v>
      </c>
      <c r="K73" s="35" t="s">
        <v>269</v>
      </c>
      <c r="L73" s="228" t="s">
        <v>42</v>
      </c>
      <c r="N73" s="186" t="s">
        <v>279</v>
      </c>
      <c r="O73" s="182"/>
      <c r="P73" s="182"/>
      <c r="Q73" s="210" t="s">
        <v>280</v>
      </c>
      <c r="R73" s="65" t="n">
        <f aca="false">-Returns!AB54</f>
        <v>-837.211695910373</v>
      </c>
      <c r="T73" s="248" t="s">
        <v>281</v>
      </c>
      <c r="U73" s="249"/>
      <c r="V73" s="250" t="n">
        <f aca="false">IF(Debt=0,0,(($X$27*V32)+($X$18*V23)+($X$9*V14)+($X$36*V41)+($X$45*V50)+($X$54*V59))/(Debt))</f>
        <v>0.063125</v>
      </c>
      <c r="W73" s="250" t="n">
        <f aca="false">IF(Debt=0,0,(($X$27*W32)+($X$18*W23)+($X$9*W14)+($X$36*W41)+($X$45*W50)+($X$54*W59))/(Debt))</f>
        <v>0.047</v>
      </c>
      <c r="X73" s="251" t="n">
        <f aca="false">V73+W73</f>
        <v>0.110125</v>
      </c>
    </row>
    <row r="74" customFormat="false" ht="12.75" hidden="false" customHeight="false" outlineLevel="0" collapsed="false">
      <c r="H74" s="37" t="s">
        <v>164</v>
      </c>
      <c r="I74" s="88" t="n">
        <v>0.2</v>
      </c>
      <c r="J74" s="88" t="n">
        <v>0.2</v>
      </c>
      <c r="K74" s="88" t="n">
        <v>0.6</v>
      </c>
      <c r="L74" s="231" t="n">
        <f aca="false">SUM(I74:K74)</f>
        <v>1</v>
      </c>
      <c r="N74" s="186" t="s">
        <v>282</v>
      </c>
      <c r="O74" s="182"/>
      <c r="P74" s="182"/>
      <c r="Q74" s="210" t="s">
        <v>280</v>
      </c>
      <c r="R74" s="65" t="n">
        <f aca="false">-Returns!AB56</f>
        <v>140.310000822361</v>
      </c>
      <c r="T74" s="37" t="s">
        <v>283</v>
      </c>
      <c r="U74" s="39"/>
      <c r="V74" s="39"/>
      <c r="W74" s="39"/>
      <c r="X74" s="252" t="n">
        <f aca="false">IF(Debt=0,0,((X$9*X15)+(X$18*X24)+(X$27*X$33)+(X$36*X42)+(X$45*X51)+(X$54*X60))/(Debt))</f>
        <v>0.015</v>
      </c>
    </row>
    <row r="75" customFormat="false" ht="13.5" hidden="false" customHeight="false" outlineLevel="0" collapsed="false">
      <c r="H75" s="49" t="s">
        <v>199</v>
      </c>
      <c r="I75" s="253" t="n">
        <v>0</v>
      </c>
      <c r="J75" s="253" t="n">
        <v>0</v>
      </c>
      <c r="K75" s="253" t="n">
        <v>1</v>
      </c>
      <c r="L75" s="242" t="n">
        <f aca="false">SUM(I75:K75)</f>
        <v>1</v>
      </c>
      <c r="N75" s="186" t="s">
        <v>284</v>
      </c>
      <c r="O75" s="182"/>
      <c r="P75" s="182"/>
      <c r="Q75" s="182"/>
      <c r="R75" s="201" t="n">
        <f aca="false">-Returns!AB57</f>
        <v>180.411545310855</v>
      </c>
      <c r="T75" s="49" t="s">
        <v>285</v>
      </c>
      <c r="U75" s="22"/>
      <c r="V75" s="22"/>
      <c r="W75" s="22"/>
      <c r="X75" s="254" t="n">
        <f aca="false">IF(Debt=0,0,((X$9*X16)+(X$18*X25)+(X$27*X$33)+(X$36*X43)+(X$45*X52)+(X$54*X61))/(Debt))</f>
        <v>0.005</v>
      </c>
    </row>
    <row r="76" customFormat="false" ht="13.5" hidden="false" customHeight="false" outlineLevel="0" collapsed="false">
      <c r="N76" s="186" t="s">
        <v>286</v>
      </c>
      <c r="O76" s="182"/>
      <c r="P76" s="182"/>
      <c r="Q76" s="182"/>
      <c r="R76" s="65" t="n">
        <f aca="false">SUM(R59:R75)</f>
        <v>-2126.10741367229</v>
      </c>
    </row>
    <row r="77" customFormat="false" ht="13.5" hidden="false" customHeight="false" outlineLevel="0" collapsed="false">
      <c r="H77" s="24" t="s">
        <v>287</v>
      </c>
      <c r="I77" s="26"/>
      <c r="J77" s="26"/>
      <c r="K77" s="26"/>
      <c r="L77" s="33"/>
      <c r="N77" s="186"/>
      <c r="O77" s="182"/>
      <c r="P77" s="182"/>
      <c r="Q77" s="182"/>
      <c r="R77" s="65"/>
      <c r="T77" s="24" t="s">
        <v>288</v>
      </c>
      <c r="U77" s="35" t="s">
        <v>289</v>
      </c>
      <c r="V77" s="35" t="s">
        <v>290</v>
      </c>
      <c r="W77" s="35" t="s">
        <v>291</v>
      </c>
      <c r="X77" s="255"/>
    </row>
    <row r="78" customFormat="false" ht="13.5" hidden="false" customHeight="false" outlineLevel="0" collapsed="false">
      <c r="H78" s="49" t="s">
        <v>292</v>
      </c>
      <c r="I78" s="22"/>
      <c r="J78" s="256" t="s">
        <v>293</v>
      </c>
      <c r="K78" s="22"/>
      <c r="L78" s="257" t="n">
        <v>0.01</v>
      </c>
      <c r="N78" s="186" t="s">
        <v>294</v>
      </c>
      <c r="O78" s="182"/>
      <c r="P78" s="182"/>
      <c r="Q78" s="182"/>
      <c r="R78" s="201" t="n">
        <f aca="false">R57+R76</f>
        <v>-28261.5681827162</v>
      </c>
      <c r="T78" s="258" t="s">
        <v>295</v>
      </c>
      <c r="U78" s="259" t="n">
        <f aca="false">MIN(PLRisk!G60:Z60)</f>
        <v>0.756621821850049</v>
      </c>
      <c r="V78" s="259" t="n">
        <f aca="false">MIN(PLRisk!G66:Z66)</f>
        <v>0.756621821850049</v>
      </c>
      <c r="W78" s="260" t="n">
        <v>1.4</v>
      </c>
      <c r="X78" s="48" t="s">
        <v>265</v>
      </c>
    </row>
    <row r="79" customFormat="false" ht="13.5" hidden="false" customHeight="false" outlineLevel="0" collapsed="false">
      <c r="N79" s="261" t="s">
        <v>296</v>
      </c>
      <c r="O79" s="199"/>
      <c r="P79" s="199"/>
      <c r="Q79" s="199"/>
      <c r="R79" s="262" t="n">
        <f aca="false">R78-R51</f>
        <v>-27.322442357221</v>
      </c>
      <c r="T79" s="263" t="s">
        <v>156</v>
      </c>
      <c r="U79" s="264" t="n">
        <f aca="false">AVERAGE(PLRisk!G60:Z60)</f>
        <v>1.41001151879495</v>
      </c>
      <c r="V79" s="264" t="n">
        <f aca="false">AVERAGE(PLRisk!G66:Z66)</f>
        <v>1.33408271398962</v>
      </c>
      <c r="W79" s="265" t="n">
        <v>1.8</v>
      </c>
      <c r="X79" s="266" t="s">
        <v>265</v>
      </c>
    </row>
    <row r="80" customFormat="false" ht="13.5" hidden="false" customHeight="false" outlineLevel="0" collapsed="false">
      <c r="H80" s="152" t="s">
        <v>297</v>
      </c>
      <c r="I80" s="267"/>
      <c r="J80" s="26"/>
      <c r="K80" s="268" t="s">
        <v>298</v>
      </c>
      <c r="L80" s="269" t="n">
        <v>1</v>
      </c>
    </row>
    <row r="81" customFormat="false" ht="13.5" hidden="false" customHeight="false" outlineLevel="0" collapsed="false">
      <c r="H81" s="37" t="s">
        <v>299</v>
      </c>
      <c r="I81" s="39"/>
      <c r="J81" s="39"/>
      <c r="K81" s="39"/>
      <c r="L81" s="270" t="n">
        <f aca="false">CF!Y43</f>
        <v>6402.97116530597</v>
      </c>
      <c r="N81" s="152" t="s">
        <v>300</v>
      </c>
      <c r="O81" s="153"/>
      <c r="P81" s="26"/>
      <c r="Q81" s="26"/>
      <c r="R81" s="33"/>
      <c r="T81" s="24" t="s">
        <v>301</v>
      </c>
      <c r="U81" s="26"/>
      <c r="V81" s="268" t="s">
        <v>302</v>
      </c>
      <c r="W81" s="129" t="s">
        <v>303</v>
      </c>
      <c r="X81" s="129"/>
    </row>
    <row r="82" customFormat="false" ht="12.75" hidden="false" customHeight="false" outlineLevel="0" collapsed="false">
      <c r="H82" s="37" t="s">
        <v>304</v>
      </c>
      <c r="I82" s="39"/>
      <c r="J82" s="39"/>
      <c r="K82" s="39"/>
      <c r="L82" s="271" t="n">
        <f aca="false">CF!Y9</f>
        <v>4</v>
      </c>
      <c r="N82" s="272" t="s">
        <v>305</v>
      </c>
      <c r="O82" s="39"/>
      <c r="P82" s="39"/>
      <c r="Q82" s="39"/>
      <c r="R82" s="273" t="n">
        <f aca="false">(710.927/4775.883)*775.883</f>
        <v>115.496165534415</v>
      </c>
      <c r="T82" s="37"/>
      <c r="U82" s="274" t="n">
        <v>6</v>
      </c>
      <c r="V82" s="39" t="s">
        <v>306</v>
      </c>
      <c r="W82" s="39"/>
      <c r="X82" s="44"/>
    </row>
    <row r="83" customFormat="false" ht="13.5" hidden="false" customHeight="false" outlineLevel="0" collapsed="false">
      <c r="H83" s="37" t="s">
        <v>307</v>
      </c>
      <c r="I83" s="39"/>
      <c r="J83" s="39"/>
      <c r="K83" s="39"/>
      <c r="L83" s="45" t="n">
        <f aca="false">L81/L82*12</f>
        <v>19208.9134959179</v>
      </c>
      <c r="N83" s="37" t="s">
        <v>308</v>
      </c>
      <c r="O83" s="39"/>
      <c r="P83" s="39"/>
      <c r="Q83" s="275" t="n">
        <f aca="false">(R82+R83)-0.35*SUM(R82,R83)</f>
        <v>648.37250759737</v>
      </c>
      <c r="R83" s="273" t="n">
        <v>882</v>
      </c>
      <c r="T83" s="49"/>
      <c r="U83" s="120" t="n">
        <v>0.025</v>
      </c>
      <c r="V83" s="22" t="s">
        <v>309</v>
      </c>
      <c r="W83" s="22"/>
      <c r="X83" s="122"/>
    </row>
    <row r="84" customFormat="false" ht="13.5" hidden="false" customHeight="false" outlineLevel="0" collapsed="false">
      <c r="H84" s="37" t="s">
        <v>310</v>
      </c>
      <c r="I84" s="39"/>
      <c r="J84" s="39"/>
      <c r="K84" s="39"/>
      <c r="L84" s="276" t="n">
        <v>10</v>
      </c>
      <c r="N84" s="37"/>
      <c r="O84" s="39"/>
      <c r="P84" s="39"/>
      <c r="Q84" s="39"/>
      <c r="R84" s="44"/>
    </row>
    <row r="85" customFormat="false" ht="13.5" hidden="false" customHeight="false" outlineLevel="0" collapsed="false">
      <c r="H85" s="49" t="s">
        <v>297</v>
      </c>
      <c r="I85" s="22"/>
      <c r="J85" s="22"/>
      <c r="K85" s="22"/>
      <c r="L85" s="277" t="n">
        <f aca="false">L83*L84</f>
        <v>192089.134959179</v>
      </c>
      <c r="N85" s="37"/>
      <c r="O85" s="123" t="n">
        <f aca="false">EINC!E7</f>
        <v>1998</v>
      </c>
      <c r="P85" s="123" t="n">
        <f aca="false">EINC!F7</f>
        <v>1999</v>
      </c>
      <c r="Q85" s="123" t="n">
        <f aca="false">EINC!G7</f>
        <v>2000</v>
      </c>
      <c r="R85" s="278" t="n">
        <f aca="false">EINC!H7</f>
        <v>2001</v>
      </c>
      <c r="T85" s="24" t="s">
        <v>311</v>
      </c>
      <c r="U85" s="26"/>
      <c r="V85" s="26"/>
      <c r="W85" s="26"/>
      <c r="X85" s="279" t="s">
        <v>312</v>
      </c>
    </row>
    <row r="86" customFormat="false" ht="12.75" hidden="false" customHeight="false" outlineLevel="0" collapsed="false">
      <c r="N86" s="37" t="s">
        <v>10</v>
      </c>
      <c r="O86" s="174" t="n">
        <f aca="false">EINC!E50</f>
        <v>265.752308958537</v>
      </c>
      <c r="P86" s="174" t="n">
        <f aca="false">EINC!F50</f>
        <v>956.602706742675</v>
      </c>
      <c r="Q86" s="174" t="n">
        <f aca="false">EINC!G50</f>
        <v>-87.9841625303478</v>
      </c>
      <c r="R86" s="280" t="n">
        <f aca="false">EINC!H50</f>
        <v>-1579.07803168424</v>
      </c>
      <c r="T86" s="37" t="s">
        <v>62</v>
      </c>
      <c r="U86" s="61" t="n">
        <f aca="false">HLOOKUP(Fin_Close,Idc_Table,IDC!$AP$25)</f>
        <v>73384.3835104272</v>
      </c>
      <c r="V86" s="39"/>
      <c r="W86" s="39"/>
      <c r="X86" s="44"/>
    </row>
    <row r="87" customFormat="false" ht="13.5" hidden="false" customHeight="false" outlineLevel="0" collapsed="false">
      <c r="M87" s="39"/>
      <c r="N87" s="37" t="str">
        <f aca="false">EINC!A60</f>
        <v>Enron Avg Book Income (Yrs 1-5) - Comm Ops</v>
      </c>
      <c r="O87" s="155"/>
      <c r="P87" s="155"/>
      <c r="Q87" s="155"/>
      <c r="R87" s="280" t="n">
        <f aca="false">EINC!C60</f>
        <v>-1838.70922399293</v>
      </c>
      <c r="T87" s="225" t="s">
        <v>313</v>
      </c>
      <c r="U87" s="120" t="n">
        <v>0.06</v>
      </c>
      <c r="V87" s="22"/>
      <c r="W87" s="206" t="s">
        <v>314</v>
      </c>
      <c r="X87" s="222" t="n">
        <v>0.065</v>
      </c>
    </row>
    <row r="88" customFormat="false" ht="13.5" hidden="false" customHeight="false" outlineLevel="0" collapsed="false">
      <c r="N88" s="49" t="str">
        <f aca="false">EINC!A61</f>
        <v>Enron Avg Book Income (Project Life) - Comm Ops</v>
      </c>
      <c r="O88" s="217"/>
      <c r="P88" s="217"/>
      <c r="Q88" s="217"/>
      <c r="R88" s="281" t="n">
        <f aca="false">EINC!C61</f>
        <v>1058.04839605734</v>
      </c>
    </row>
    <row r="89" customFormat="false" ht="13.5" hidden="false" customHeight="false" outlineLevel="0" collapsed="false">
      <c r="T89" s="24" t="s">
        <v>315</v>
      </c>
      <c r="U89" s="26"/>
      <c r="V89" s="26"/>
      <c r="W89" s="26"/>
      <c r="X89" s="279" t="s">
        <v>316</v>
      </c>
    </row>
    <row r="90" customFormat="false" ht="12.75" hidden="false" customHeight="false" outlineLevel="0" collapsed="false">
      <c r="T90" s="37" t="s">
        <v>317</v>
      </c>
      <c r="U90" s="39"/>
      <c r="V90" s="39"/>
      <c r="W90" s="39"/>
      <c r="X90" s="282" t="n">
        <v>1</v>
      </c>
    </row>
    <row r="91" customFormat="false" ht="13.5" hidden="false" customHeight="false" outlineLevel="0" collapsed="false">
      <c r="T91" s="49"/>
      <c r="U91" s="22"/>
      <c r="V91" s="22"/>
      <c r="W91" s="22"/>
      <c r="X91" s="122"/>
    </row>
  </sheetData>
  <mergeCells count="3">
    <mergeCell ref="Z11:AA11"/>
    <mergeCell ref="Z12:AA12"/>
    <mergeCell ref="W81:X81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colBreaks count="1" manualBreakCount="1">
    <brk id="12" man="true" max="65535" min="0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Converge_Model.CONVERGE">
                <anchor moveWithCells="true" sizeWithCells="false">
                  <from>
                    <xdr:col>1</xdr:col>
                    <xdr:colOff>533520</xdr:colOff>
                    <xdr:row>2</xdr:row>
                    <xdr:rowOff>47880</xdr:rowOff>
                  </from>
                  <to>
                    <xdr:col>2</xdr:col>
                    <xdr:colOff>715320</xdr:colOff>
                    <xdr:row>4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 macro="xls.Print_All.Print_Model">
                <anchor moveWithCells="true" sizeWithCells="false">
                  <from>
                    <xdr:col>4</xdr:col>
                    <xdr:colOff>362520</xdr:colOff>
                    <xdr:row>2</xdr:row>
                    <xdr:rowOff>38520</xdr:rowOff>
                  </from>
                  <to>
                    <xdr:col>5</xdr:col>
                    <xdr:colOff>644400</xdr:colOff>
                    <xdr:row>4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22">
              <controlPr defaultSize="0" print="false" autoFill="0" autoPict="0" macro="xls.Commit.Converge_Commit">
                <anchor moveWithCells="true" sizeWithCells="false">
                  <from>
                    <xdr:col>3</xdr:col>
                    <xdr:colOff>29880</xdr:colOff>
                    <xdr:row>2</xdr:row>
                    <xdr:rowOff>57240</xdr:rowOff>
                  </from>
                  <to>
                    <xdr:col>4</xdr:col>
                    <xdr:colOff>222480</xdr:colOff>
                    <xdr:row>4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3">
              <controlPr defaultSize="0" print="false" autoFill="0" autoPict="0" macro="xls.Print_Appendix.Print_Append">
                <anchor moveWithCells="true" sizeWithCells="false">
                  <from>
                    <xdr:col>5</xdr:col>
                    <xdr:colOff>774720</xdr:colOff>
                    <xdr:row>2</xdr:row>
                    <xdr:rowOff>38520</xdr:rowOff>
                  </from>
                  <to>
                    <xdr:col>7</xdr:col>
                    <xdr:colOff>795960</xdr:colOff>
                    <xdr:row>4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468" width="23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0"/>
      <c r="C1" s="116"/>
      <c r="D1" s="351"/>
      <c r="E1" s="351"/>
      <c r="F1" s="469"/>
      <c r="G1" s="15"/>
      <c r="H1" s="469"/>
      <c r="I1" s="469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0"/>
      <c r="C2" s="116"/>
      <c r="D2" s="351"/>
      <c r="E2" s="351"/>
      <c r="F2" s="469"/>
      <c r="G2" s="15"/>
      <c r="H2" s="469"/>
      <c r="I2" s="469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356"/>
      <c r="F3" s="469"/>
      <c r="G3" s="15"/>
      <c r="H3" s="469"/>
      <c r="I3" s="47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1084</v>
      </c>
      <c r="B4" s="885"/>
      <c r="C4" s="116"/>
      <c r="D4" s="885"/>
      <c r="E4" s="885"/>
      <c r="F4" s="469"/>
      <c r="G4" s="15"/>
      <c r="H4" s="469"/>
      <c r="I4" s="47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980"/>
      <c r="B6" s="821"/>
      <c r="C6" s="981"/>
      <c r="D6" s="982"/>
      <c r="E6" s="983"/>
      <c r="F6" s="821"/>
      <c r="G6" s="821"/>
      <c r="H6" s="821" t="s">
        <v>967</v>
      </c>
      <c r="I6" s="984"/>
    </row>
    <row r="7" customFormat="false" ht="12.75" hidden="false" customHeight="false" outlineLevel="0" collapsed="false">
      <c r="A7" s="985"/>
      <c r="B7" s="921"/>
      <c r="C7" s="921" t="s">
        <v>1018</v>
      </c>
      <c r="D7" s="921"/>
      <c r="E7" s="921"/>
      <c r="F7" s="921"/>
      <c r="G7" s="921" t="s">
        <v>968</v>
      </c>
      <c r="H7" s="921" t="s">
        <v>969</v>
      </c>
      <c r="I7" s="987"/>
    </row>
    <row r="8" customFormat="false" ht="13.5" hidden="false" customHeight="false" outlineLevel="0" collapsed="false">
      <c r="A8" s="988" t="s">
        <v>970</v>
      </c>
      <c r="B8" s="990" t="s">
        <v>971</v>
      </c>
      <c r="C8" s="990" t="s">
        <v>1020</v>
      </c>
      <c r="D8" s="990"/>
      <c r="E8" s="990"/>
      <c r="F8" s="990" t="s">
        <v>973</v>
      </c>
      <c r="G8" s="990" t="s">
        <v>974</v>
      </c>
      <c r="H8" s="990" t="s">
        <v>975</v>
      </c>
      <c r="I8" s="991" t="s">
        <v>976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47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01" t="str">
        <f aca="false">Assm!T6</f>
        <v>Project Financing ($000)</v>
      </c>
      <c r="B10" s="25" t="str">
        <f aca="false">Assm!T8</f>
        <v>Tranche 1: MLA - OPIC</v>
      </c>
      <c r="C10" s="1128"/>
      <c r="D10" s="26"/>
      <c r="E10" s="26"/>
      <c r="F10" s="1129"/>
      <c r="G10" s="994"/>
      <c r="H10" s="993"/>
      <c r="I10" s="995"/>
    </row>
    <row r="11" customFormat="false" ht="12.75" hidden="false" customHeight="false" outlineLevel="0" collapsed="false">
      <c r="A11" s="1008"/>
      <c r="B11" s="39" t="str">
        <f aca="false">Assm!T9</f>
        <v>Amount</v>
      </c>
      <c r="C11" s="1130" t="n">
        <f aca="false">Assm!X9</f>
        <v>75934.8027862155</v>
      </c>
      <c r="D11" s="39"/>
      <c r="F11" s="1131" t="s">
        <v>1085</v>
      </c>
      <c r="G11" s="1006" t="n">
        <v>36391</v>
      </c>
      <c r="H11" s="1005" t="s">
        <v>994</v>
      </c>
      <c r="I11" s="1007" t="s">
        <v>1086</v>
      </c>
    </row>
    <row r="12" customFormat="false" ht="12.75" hidden="false" customHeight="false" outlineLevel="0" collapsed="false">
      <c r="A12" s="1008"/>
      <c r="B12" s="39" t="str">
        <f aca="false">Assm!T10</f>
        <v>Loan Amortization (1=S/L, 2=MTG, 3=Custom)</v>
      </c>
      <c r="C12" s="1132" t="str">
        <f aca="false">IF(Assm!X10=0,"Not Amortized",CHOOSE(Assm!X10,"Straightline","Mortgage","Custom"))</f>
        <v>Custom</v>
      </c>
      <c r="D12" s="39"/>
      <c r="F12" s="1131"/>
      <c r="G12" s="1006"/>
      <c r="H12" s="1005"/>
      <c r="I12" s="1007"/>
    </row>
    <row r="13" customFormat="false" ht="12.75" hidden="false" customHeight="false" outlineLevel="0" collapsed="false">
      <c r="A13" s="1008"/>
      <c r="B13" s="39" t="str">
        <f aca="false">Assm!T11</f>
        <v>Term (Years) - Post Closing</v>
      </c>
      <c r="C13" s="1133" t="n">
        <f aca="false">Assm!X11</f>
        <v>29</v>
      </c>
      <c r="D13" s="39"/>
      <c r="F13" s="1131"/>
      <c r="G13" s="1006"/>
      <c r="H13" s="1005"/>
      <c r="I13" s="1007"/>
    </row>
    <row r="14" customFormat="false" ht="12.75" hidden="false" customHeight="false" outlineLevel="0" collapsed="false">
      <c r="A14" s="1008"/>
      <c r="B14" s="39" t="str">
        <f aca="false">Assm!T12</f>
        <v>Grace (Periods) - Post Closing</v>
      </c>
      <c r="C14" s="1133" t="n">
        <f aca="false">Assm!X12</f>
        <v>1</v>
      </c>
      <c r="D14" s="39"/>
      <c r="F14" s="1131"/>
      <c r="G14" s="1006"/>
      <c r="H14" s="1005"/>
      <c r="I14" s="1007"/>
    </row>
    <row r="15" customFormat="false" ht="12.75" hidden="false" customHeight="false" outlineLevel="0" collapsed="false">
      <c r="A15" s="1008"/>
      <c r="B15" s="39" t="str">
        <f aca="false">Assm!T13</f>
        <v>Average Life Of Loan (Years)</v>
      </c>
      <c r="C15" s="1133" t="n">
        <f aca="false">Assm!X13</f>
        <v>10.4</v>
      </c>
      <c r="D15" s="39"/>
      <c r="F15" s="1131"/>
      <c r="G15" s="1006"/>
      <c r="H15" s="1005"/>
      <c r="I15" s="1007"/>
    </row>
    <row r="16" customFormat="false" ht="12.75" hidden="false" customHeight="false" outlineLevel="0" collapsed="false">
      <c r="A16" s="1008"/>
      <c r="B16" s="39" t="str">
        <f aca="false">Assm!T14</f>
        <v>Interest Rate / Spread</v>
      </c>
      <c r="C16" s="1059" t="n">
        <f aca="false">Assm!X14</f>
        <v>0.110125</v>
      </c>
      <c r="D16" s="39"/>
      <c r="F16" s="1131"/>
      <c r="G16" s="1006"/>
      <c r="H16" s="1005"/>
      <c r="I16" s="1007"/>
    </row>
    <row r="17" customFormat="false" ht="12.75" hidden="false" customHeight="false" outlineLevel="0" collapsed="false">
      <c r="A17" s="1008"/>
      <c r="B17" s="39" t="str">
        <f aca="false">Assm!T15</f>
        <v>Upfront Fee</v>
      </c>
      <c r="C17" s="1134" t="n">
        <f aca="false">Assm!X15</f>
        <v>0.015</v>
      </c>
      <c r="D17" s="39"/>
      <c r="F17" s="1131"/>
      <c r="G17" s="1006"/>
      <c r="H17" s="1005"/>
      <c r="I17" s="1007"/>
    </row>
    <row r="18" customFormat="false" ht="12.75" hidden="false" customHeight="false" outlineLevel="0" collapsed="false">
      <c r="A18" s="1008"/>
      <c r="B18" s="39" t="str">
        <f aca="false">Assm!T16</f>
        <v>Commitment Fee</v>
      </c>
      <c r="C18" s="1134" t="n">
        <f aca="false">Assm!X16</f>
        <v>0.005</v>
      </c>
      <c r="D18" s="39"/>
      <c r="F18" s="1131"/>
      <c r="G18" s="1006"/>
      <c r="H18" s="1005"/>
      <c r="I18" s="1007"/>
    </row>
    <row r="19" customFormat="false" ht="12.75" hidden="false" customHeight="false" outlineLevel="0" collapsed="false">
      <c r="A19" s="1008"/>
      <c r="B19" s="38" t="str">
        <f aca="false">Assm!T17</f>
        <v>Tranche 2: KFW (Uncovered Loan)</v>
      </c>
      <c r="C19" s="1135"/>
      <c r="D19" s="39"/>
      <c r="F19" s="1131"/>
      <c r="G19" s="1006"/>
      <c r="H19" s="1005"/>
      <c r="I19" s="1007"/>
    </row>
    <row r="20" customFormat="false" ht="12.75" hidden="false" customHeight="false" outlineLevel="0" collapsed="false">
      <c r="A20" s="1008"/>
      <c r="B20" s="39" t="str">
        <f aca="false">Assm!T18</f>
        <v>Amount</v>
      </c>
      <c r="C20" s="1130" t="n">
        <f aca="false">Assm!X18</f>
        <v>0</v>
      </c>
      <c r="D20" s="39"/>
      <c r="F20" s="1131" t="s">
        <v>1085</v>
      </c>
      <c r="G20" s="1006" t="n">
        <v>36391</v>
      </c>
      <c r="H20" s="1005" t="s">
        <v>994</v>
      </c>
      <c r="I20" s="1007" t="s">
        <v>1086</v>
      </c>
    </row>
    <row r="21" customFormat="false" ht="12.75" hidden="false" customHeight="false" outlineLevel="0" collapsed="false">
      <c r="A21" s="1008"/>
      <c r="B21" s="39" t="str">
        <f aca="false">Assm!T19</f>
        <v>Loan Amortization (1=S/L, 2=MTG, 3=Custom)</v>
      </c>
      <c r="C21" s="1132" t="str">
        <f aca="false">IF(Assm!X19=0,"Not Amortized",CHOOSE(Assm!X19,"Straightline","Mortgage","Custom"))</f>
        <v>Mortgage</v>
      </c>
      <c r="D21" s="39"/>
      <c r="F21" s="1131"/>
      <c r="G21" s="1006"/>
      <c r="H21" s="1005"/>
      <c r="I21" s="1007"/>
    </row>
    <row r="22" customFormat="false" ht="12.75" hidden="false" customHeight="false" outlineLevel="0" collapsed="false">
      <c r="A22" s="1008"/>
      <c r="B22" s="39" t="str">
        <f aca="false">Assm!T20</f>
        <v>Term (Years) - Post Closing</v>
      </c>
      <c r="C22" s="1133" t="n">
        <f aca="false">Assm!X20</f>
        <v>0</v>
      </c>
      <c r="D22" s="39"/>
      <c r="F22" s="1131"/>
      <c r="G22" s="1006"/>
      <c r="H22" s="1005"/>
      <c r="I22" s="1007"/>
    </row>
    <row r="23" customFormat="false" ht="12.75" hidden="false" customHeight="false" outlineLevel="0" collapsed="false">
      <c r="A23" s="1008"/>
      <c r="B23" s="39" t="str">
        <f aca="false">Assm!T21</f>
        <v>Grace (Periods) - Post Closing</v>
      </c>
      <c r="C23" s="1133" t="n">
        <f aca="false">Assm!X21</f>
        <v>1</v>
      </c>
      <c r="D23" s="39"/>
      <c r="F23" s="1131"/>
      <c r="G23" s="1006"/>
      <c r="H23" s="1005"/>
      <c r="I23" s="1007"/>
    </row>
    <row r="24" customFormat="false" ht="12.75" hidden="false" customHeight="false" outlineLevel="0" collapsed="false">
      <c r="A24" s="1008"/>
      <c r="B24" s="39" t="str">
        <f aca="false">Assm!T22</f>
        <v>Average Life Of Loan (Years)</v>
      </c>
      <c r="C24" s="1133" t="n">
        <f aca="false">Assm!X22</f>
        <v>0</v>
      </c>
      <c r="D24" s="39"/>
      <c r="F24" s="1131"/>
      <c r="G24" s="1006"/>
      <c r="H24" s="1005"/>
      <c r="I24" s="1007"/>
    </row>
    <row r="25" customFormat="false" ht="12.75" hidden="false" customHeight="false" outlineLevel="0" collapsed="false">
      <c r="A25" s="1008"/>
      <c r="B25" s="39" t="str">
        <f aca="false">Assm!T23</f>
        <v>Interest Rate / Spread</v>
      </c>
      <c r="C25" s="1059" t="n">
        <f aca="false">Assm!X23</f>
        <v>0.0927</v>
      </c>
      <c r="D25" s="39"/>
      <c r="F25" s="1131"/>
      <c r="G25" s="1006"/>
      <c r="H25" s="1005"/>
      <c r="I25" s="1007"/>
    </row>
    <row r="26" customFormat="false" ht="12.75" hidden="false" customHeight="false" outlineLevel="0" collapsed="false">
      <c r="A26" s="1008"/>
      <c r="B26" s="39" t="str">
        <f aca="false">Assm!T24</f>
        <v>Upfront Fee</v>
      </c>
      <c r="C26" s="1134" t="n">
        <f aca="false">Assm!X24</f>
        <v>0.015</v>
      </c>
      <c r="D26" s="39"/>
      <c r="F26" s="1131"/>
      <c r="G26" s="1006"/>
      <c r="H26" s="1005"/>
      <c r="I26" s="1007"/>
    </row>
    <row r="27" customFormat="false" ht="12.75" hidden="false" customHeight="false" outlineLevel="0" collapsed="false">
      <c r="A27" s="1008"/>
      <c r="B27" s="39" t="str">
        <f aca="false">Assm!T25</f>
        <v>Commitment Fee</v>
      </c>
      <c r="C27" s="1134" t="n">
        <f aca="false">Assm!X25</f>
        <v>0.0025</v>
      </c>
      <c r="D27" s="39"/>
      <c r="F27" s="1131"/>
      <c r="G27" s="1006"/>
      <c r="H27" s="1005"/>
      <c r="I27" s="1007"/>
    </row>
    <row r="28" customFormat="false" ht="12.75" hidden="false" customHeight="false" outlineLevel="0" collapsed="false">
      <c r="A28" s="1008"/>
      <c r="B28" s="38" t="str">
        <f aca="false">Assm!T26</f>
        <v>Tranche 3: </v>
      </c>
      <c r="C28" s="1135"/>
      <c r="D28" s="39"/>
      <c r="F28" s="1131"/>
      <c r="G28" s="1006"/>
      <c r="H28" s="1005"/>
      <c r="I28" s="1007"/>
    </row>
    <row r="29" customFormat="false" ht="12.75" hidden="false" customHeight="false" outlineLevel="0" collapsed="false">
      <c r="A29" s="1008"/>
      <c r="B29" s="39" t="str">
        <f aca="false">Assm!T27</f>
        <v>Amount</v>
      </c>
      <c r="C29" s="1130" t="n">
        <f aca="false">Assm!X27</f>
        <v>0</v>
      </c>
      <c r="D29" s="39"/>
      <c r="F29" s="1131" t="s">
        <v>1085</v>
      </c>
      <c r="G29" s="1006" t="n">
        <v>36391</v>
      </c>
      <c r="H29" s="1005" t="s">
        <v>994</v>
      </c>
      <c r="I29" s="1007" t="s">
        <v>1086</v>
      </c>
    </row>
    <row r="30" customFormat="false" ht="12.75" hidden="false" customHeight="false" outlineLevel="0" collapsed="false">
      <c r="A30" s="1008"/>
      <c r="B30" s="39" t="str">
        <f aca="false">Assm!T28</f>
        <v>Loan Amortization (1=S/L, 2=MTG, 3=Custom)</v>
      </c>
      <c r="C30" s="1132" t="str">
        <f aca="false">IF(Assm!X28=0,"Not Amortized",CHOOSE(Assm!X28,"Straightline","Mortgage","Custom"))</f>
        <v>Not Amortized</v>
      </c>
      <c r="D30" s="39"/>
      <c r="F30" s="1131"/>
      <c r="G30" s="1006"/>
      <c r="H30" s="1005"/>
      <c r="I30" s="1007"/>
    </row>
    <row r="31" customFormat="false" ht="12.75" hidden="false" customHeight="false" outlineLevel="0" collapsed="false">
      <c r="A31" s="1008"/>
      <c r="B31" s="39" t="str">
        <f aca="false">Assm!T29</f>
        <v>Term (Years) - Post Closing</v>
      </c>
      <c r="C31" s="1133" t="n">
        <f aca="false">Assm!X29</f>
        <v>0</v>
      </c>
      <c r="D31" s="39"/>
      <c r="F31" s="1131"/>
      <c r="G31" s="1006"/>
      <c r="H31" s="1005"/>
      <c r="I31" s="1007"/>
    </row>
    <row r="32" customFormat="false" ht="12.75" hidden="false" customHeight="false" outlineLevel="0" collapsed="false">
      <c r="A32" s="1008"/>
      <c r="B32" s="39" t="str">
        <f aca="false">Assm!T30</f>
        <v>Grace (Periods) - Post Closing</v>
      </c>
      <c r="C32" s="1133" t="n">
        <f aca="false">Assm!X30</f>
        <v>0</v>
      </c>
      <c r="D32" s="39"/>
      <c r="F32" s="1131"/>
      <c r="G32" s="1006"/>
      <c r="H32" s="1005"/>
      <c r="I32" s="1007"/>
    </row>
    <row r="33" customFormat="false" ht="12.75" hidden="false" customHeight="false" outlineLevel="0" collapsed="false">
      <c r="A33" s="1008"/>
      <c r="B33" s="39" t="str">
        <f aca="false">Assm!T31</f>
        <v>Average Life Of Loan (Years)</v>
      </c>
      <c r="C33" s="1133" t="n">
        <f aca="false">Assm!X31</f>
        <v>0</v>
      </c>
      <c r="D33" s="39"/>
      <c r="F33" s="1131"/>
      <c r="G33" s="1006"/>
      <c r="H33" s="1005"/>
      <c r="I33" s="1007"/>
    </row>
    <row r="34" customFormat="false" ht="12.75" hidden="false" customHeight="false" outlineLevel="0" collapsed="false">
      <c r="A34" s="1008"/>
      <c r="B34" s="39" t="str">
        <f aca="false">Assm!T32</f>
        <v>Interest Rate / Spread</v>
      </c>
      <c r="C34" s="1059" t="n">
        <f aca="false">Assm!X32</f>
        <v>0</v>
      </c>
      <c r="D34" s="39"/>
      <c r="F34" s="1131"/>
      <c r="G34" s="1006"/>
      <c r="H34" s="1005"/>
      <c r="I34" s="1007"/>
    </row>
    <row r="35" customFormat="false" ht="12.75" hidden="false" customHeight="false" outlineLevel="0" collapsed="false">
      <c r="A35" s="1008"/>
      <c r="B35" s="39" t="str">
        <f aca="false">Assm!T33</f>
        <v>Upfront Fee</v>
      </c>
      <c r="C35" s="1134" t="n">
        <f aca="false">Assm!X33</f>
        <v>0</v>
      </c>
      <c r="D35" s="39"/>
      <c r="F35" s="1131"/>
      <c r="G35" s="1006"/>
      <c r="H35" s="1005"/>
      <c r="I35" s="1007"/>
    </row>
    <row r="36" customFormat="false" ht="12.75" hidden="false" customHeight="false" outlineLevel="0" collapsed="false">
      <c r="A36" s="1008"/>
      <c r="B36" s="39" t="str">
        <f aca="false">Assm!T34</f>
        <v>Commitment Fee</v>
      </c>
      <c r="C36" s="1134" t="n">
        <f aca="false">Assm!X34</f>
        <v>0</v>
      </c>
      <c r="D36" s="39"/>
      <c r="F36" s="1131"/>
      <c r="G36" s="1006"/>
      <c r="H36" s="1005"/>
      <c r="I36" s="1007"/>
    </row>
    <row r="37" customFormat="false" ht="12.75" hidden="false" customHeight="false" outlineLevel="0" collapsed="false">
      <c r="A37" s="1008"/>
      <c r="B37" s="38" t="str">
        <f aca="false">Assm!T35</f>
        <v>Tranche 4:</v>
      </c>
      <c r="C37" s="1135"/>
      <c r="D37" s="39"/>
      <c r="F37" s="1131"/>
      <c r="G37" s="1006"/>
      <c r="H37" s="1005"/>
      <c r="I37" s="1007"/>
    </row>
    <row r="38" customFormat="false" ht="12.75" hidden="false" customHeight="false" outlineLevel="0" collapsed="false">
      <c r="A38" s="1008"/>
      <c r="B38" s="39" t="str">
        <f aca="false">Assm!T36</f>
        <v>Amount</v>
      </c>
      <c r="C38" s="1130" t="n">
        <f aca="false">Assm!X36</f>
        <v>0</v>
      </c>
      <c r="D38" s="39"/>
      <c r="F38" s="1131" t="s">
        <v>1085</v>
      </c>
      <c r="G38" s="1006" t="n">
        <v>36391</v>
      </c>
      <c r="H38" s="1005" t="s">
        <v>994</v>
      </c>
      <c r="I38" s="1007" t="s">
        <v>1086</v>
      </c>
    </row>
    <row r="39" customFormat="false" ht="12.75" hidden="false" customHeight="false" outlineLevel="0" collapsed="false">
      <c r="A39" s="1008"/>
      <c r="B39" s="39" t="str">
        <f aca="false">Assm!T37</f>
        <v>Loan Amortization (1=S/L, 2=MTG, 3=Custom)</v>
      </c>
      <c r="C39" s="1132" t="str">
        <f aca="false">IF(Assm!X37=0,"Not Amortized",CHOOSE(Assm!X37,"Straightline","Mortgage","Custom"))</f>
        <v>Not Amortized</v>
      </c>
      <c r="D39" s="39"/>
      <c r="F39" s="1131"/>
      <c r="G39" s="1006"/>
      <c r="H39" s="1005"/>
      <c r="I39" s="1007"/>
    </row>
    <row r="40" customFormat="false" ht="12.75" hidden="false" customHeight="false" outlineLevel="0" collapsed="false">
      <c r="A40" s="1008"/>
      <c r="B40" s="39" t="str">
        <f aca="false">Assm!T38</f>
        <v>Term (Years) - Post Closing</v>
      </c>
      <c r="C40" s="1133" t="n">
        <f aca="false">Assm!X38</f>
        <v>0</v>
      </c>
      <c r="D40" s="39"/>
      <c r="F40" s="1131"/>
      <c r="G40" s="1006"/>
      <c r="H40" s="1005"/>
      <c r="I40" s="1007"/>
    </row>
    <row r="41" customFormat="false" ht="12.75" hidden="false" customHeight="false" outlineLevel="0" collapsed="false">
      <c r="A41" s="1008"/>
      <c r="B41" s="39" t="str">
        <f aca="false">Assm!T39</f>
        <v>Grace (Periods) - Post Closing</v>
      </c>
      <c r="C41" s="1133" t="n">
        <f aca="false">Assm!X39</f>
        <v>0</v>
      </c>
      <c r="D41" s="39"/>
      <c r="F41" s="1131"/>
      <c r="G41" s="1006"/>
      <c r="H41" s="1005"/>
      <c r="I41" s="1007"/>
    </row>
    <row r="42" customFormat="false" ht="12.75" hidden="false" customHeight="false" outlineLevel="0" collapsed="false">
      <c r="A42" s="1008"/>
      <c r="B42" s="39" t="str">
        <f aca="false">Assm!T40</f>
        <v>Average Life Of Loan (Years)</v>
      </c>
      <c r="C42" s="1133" t="n">
        <f aca="false">Assm!X40</f>
        <v>0</v>
      </c>
      <c r="D42" s="39"/>
      <c r="F42" s="1131"/>
      <c r="G42" s="1006"/>
      <c r="H42" s="1005"/>
      <c r="I42" s="1007"/>
    </row>
    <row r="43" customFormat="false" ht="12.75" hidden="false" customHeight="false" outlineLevel="0" collapsed="false">
      <c r="A43" s="1008"/>
      <c r="B43" s="39" t="str">
        <f aca="false">Assm!T41</f>
        <v>Interest Rate / Spread</v>
      </c>
      <c r="C43" s="1059" t="n">
        <f aca="false">Assm!X41</f>
        <v>0</v>
      </c>
      <c r="D43" s="39"/>
      <c r="F43" s="1131"/>
      <c r="G43" s="1006"/>
      <c r="H43" s="1005"/>
      <c r="I43" s="1007"/>
    </row>
    <row r="44" customFormat="false" ht="12.75" hidden="false" customHeight="false" outlineLevel="0" collapsed="false">
      <c r="A44" s="1008"/>
      <c r="B44" s="39" t="str">
        <f aca="false">Assm!T42</f>
        <v>Upfront Fee</v>
      </c>
      <c r="C44" s="1059" t="n">
        <f aca="false">Assm!X42</f>
        <v>0</v>
      </c>
      <c r="D44" s="39"/>
      <c r="F44" s="1131"/>
      <c r="G44" s="1006"/>
      <c r="H44" s="1005"/>
      <c r="I44" s="1007"/>
    </row>
    <row r="45" customFormat="false" ht="12.75" hidden="false" customHeight="false" outlineLevel="0" collapsed="false">
      <c r="A45" s="1008"/>
      <c r="B45" s="39" t="str">
        <f aca="false">Assm!T43</f>
        <v>Commitment Fee</v>
      </c>
      <c r="C45" s="1059" t="n">
        <f aca="false">Assm!X43</f>
        <v>0</v>
      </c>
      <c r="D45" s="39"/>
      <c r="F45" s="1131"/>
      <c r="G45" s="1006"/>
      <c r="H45" s="1005"/>
      <c r="I45" s="1007"/>
    </row>
    <row r="46" customFormat="false" ht="12.75" hidden="false" customHeight="false" outlineLevel="0" collapsed="false">
      <c r="A46" s="1008"/>
      <c r="B46" s="38" t="str">
        <f aca="false">Assm!T44</f>
        <v>Tranche 5:</v>
      </c>
      <c r="C46" s="1135"/>
      <c r="D46" s="39"/>
      <c r="F46" s="1131"/>
      <c r="G46" s="1006"/>
      <c r="H46" s="1005"/>
      <c r="I46" s="1007"/>
    </row>
    <row r="47" customFormat="false" ht="12.75" hidden="false" customHeight="false" outlineLevel="0" collapsed="false">
      <c r="A47" s="1008"/>
      <c r="B47" s="39" t="str">
        <f aca="false">Assm!T45</f>
        <v>Amount</v>
      </c>
      <c r="C47" s="1130" t="n">
        <f aca="false">Assm!X45</f>
        <v>0</v>
      </c>
      <c r="D47" s="39"/>
      <c r="F47" s="1131" t="s">
        <v>1085</v>
      </c>
      <c r="G47" s="1006" t="n">
        <v>36391</v>
      </c>
      <c r="H47" s="1005" t="s">
        <v>994</v>
      </c>
      <c r="I47" s="1007" t="s">
        <v>1086</v>
      </c>
    </row>
    <row r="48" customFormat="false" ht="12.75" hidden="false" customHeight="false" outlineLevel="0" collapsed="false">
      <c r="A48" s="1008"/>
      <c r="B48" s="39" t="str">
        <f aca="false">Assm!T46</f>
        <v>Loan Amortization (1=S/L, 2=MTG, 3=Custom)</v>
      </c>
      <c r="C48" s="1132" t="str">
        <f aca="false">IF(Assm!X46=0,"Not Amortized",CHOOSE(Assm!X46,"Straightline","Mortgage","Custom"))</f>
        <v>Not Amortized</v>
      </c>
      <c r="D48" s="39"/>
      <c r="F48" s="1131"/>
      <c r="G48" s="1006"/>
      <c r="H48" s="1005"/>
      <c r="I48" s="1007"/>
    </row>
    <row r="49" customFormat="false" ht="12.75" hidden="false" customHeight="false" outlineLevel="0" collapsed="false">
      <c r="A49" s="1008"/>
      <c r="B49" s="39" t="str">
        <f aca="false">Assm!T47</f>
        <v>Term (Years) - Post Closing</v>
      </c>
      <c r="C49" s="1133" t="n">
        <f aca="false">Assm!X47</f>
        <v>0</v>
      </c>
      <c r="D49" s="39"/>
      <c r="F49" s="1131"/>
      <c r="G49" s="1006"/>
      <c r="H49" s="1005"/>
      <c r="I49" s="1007"/>
    </row>
    <row r="50" customFormat="false" ht="12.75" hidden="false" customHeight="false" outlineLevel="0" collapsed="false">
      <c r="A50" s="1008"/>
      <c r="B50" s="39" t="str">
        <f aca="false">Assm!T48</f>
        <v>Grace (Periods) - Post Closing</v>
      </c>
      <c r="C50" s="1133" t="n">
        <f aca="false">Assm!X48</f>
        <v>0</v>
      </c>
      <c r="D50" s="39"/>
      <c r="F50" s="1131"/>
      <c r="G50" s="1006"/>
      <c r="H50" s="1005"/>
      <c r="I50" s="1007"/>
    </row>
    <row r="51" customFormat="false" ht="12.75" hidden="false" customHeight="false" outlineLevel="0" collapsed="false">
      <c r="A51" s="1008"/>
      <c r="B51" s="39" t="str">
        <f aca="false">Assm!T49</f>
        <v>Average Life Of Loan (Years)</v>
      </c>
      <c r="C51" s="1133" t="n">
        <f aca="false">Assm!X49</f>
        <v>0</v>
      </c>
      <c r="D51" s="39"/>
      <c r="F51" s="1131"/>
      <c r="G51" s="1006"/>
      <c r="H51" s="1005"/>
      <c r="I51" s="1007"/>
    </row>
    <row r="52" customFormat="false" ht="12.75" hidden="false" customHeight="false" outlineLevel="0" collapsed="false">
      <c r="A52" s="1008"/>
      <c r="B52" s="39" t="str">
        <f aca="false">Assm!T50</f>
        <v>Interest Rate / Spread</v>
      </c>
      <c r="C52" s="1059" t="n">
        <f aca="false">Assm!X50</f>
        <v>0</v>
      </c>
      <c r="D52" s="39"/>
      <c r="F52" s="1131"/>
      <c r="G52" s="1006"/>
      <c r="H52" s="1005"/>
      <c r="I52" s="1007"/>
    </row>
    <row r="53" customFormat="false" ht="12.75" hidden="false" customHeight="false" outlineLevel="0" collapsed="false">
      <c r="A53" s="1008"/>
      <c r="B53" s="39" t="str">
        <f aca="false">Assm!T51</f>
        <v>Upfront Fee</v>
      </c>
      <c r="C53" s="1059" t="n">
        <f aca="false">Assm!X51</f>
        <v>0</v>
      </c>
      <c r="D53" s="39"/>
      <c r="F53" s="1131"/>
      <c r="G53" s="1006"/>
      <c r="H53" s="1005"/>
      <c r="I53" s="1007"/>
    </row>
    <row r="54" customFormat="false" ht="12.75" hidden="false" customHeight="false" outlineLevel="0" collapsed="false">
      <c r="A54" s="1008"/>
      <c r="B54" s="39" t="str">
        <f aca="false">Assm!T52</f>
        <v>Commitment Fee</v>
      </c>
      <c r="C54" s="1059" t="n">
        <f aca="false">Assm!X52</f>
        <v>0</v>
      </c>
      <c r="D54" s="39"/>
      <c r="F54" s="1131"/>
      <c r="G54" s="1006"/>
      <c r="H54" s="1005"/>
      <c r="I54" s="1007"/>
    </row>
    <row r="55" customFormat="false" ht="12.75" hidden="false" customHeight="false" outlineLevel="0" collapsed="false">
      <c r="A55" s="1008"/>
      <c r="B55" s="38" t="str">
        <f aca="false">Assm!T53</f>
        <v>Tranche 6: Subordinated Debt</v>
      </c>
      <c r="C55" s="1135"/>
      <c r="D55" s="39"/>
      <c r="F55" s="1131"/>
      <c r="G55" s="1006"/>
      <c r="H55" s="1005"/>
      <c r="I55" s="1007"/>
    </row>
    <row r="56" customFormat="false" ht="12.75" hidden="false" customHeight="false" outlineLevel="0" collapsed="false">
      <c r="A56" s="1008"/>
      <c r="B56" s="39" t="str">
        <f aca="false">Assm!T54</f>
        <v>Amount</v>
      </c>
      <c r="C56" s="1130" t="n">
        <f aca="false">Assm!X54</f>
        <v>21492.6890302453</v>
      </c>
      <c r="D56" s="39"/>
      <c r="F56" s="1131" t="s">
        <v>1085</v>
      </c>
      <c r="G56" s="1006" t="n">
        <v>36391</v>
      </c>
      <c r="H56" s="1005" t="s">
        <v>994</v>
      </c>
      <c r="I56" s="1007" t="s">
        <v>1086</v>
      </c>
    </row>
    <row r="57" customFormat="false" ht="12.75" hidden="false" customHeight="false" outlineLevel="0" collapsed="false">
      <c r="A57" s="1008"/>
      <c r="B57" s="39" t="str">
        <f aca="false">Assm!T55</f>
        <v>Loan Amortization (1=S/L, 2=MTG, 3=Custom)</v>
      </c>
      <c r="C57" s="1132" t="str">
        <f aca="false">IF(Assm!X55=0,"Not Amortized",CHOOSE(Assm!X55,"Straightline","Mortgage","Custom"))</f>
        <v>Mortgage</v>
      </c>
      <c r="D57" s="39"/>
      <c r="F57" s="1131"/>
      <c r="G57" s="1006"/>
      <c r="H57" s="1005"/>
      <c r="I57" s="1007"/>
    </row>
    <row r="58" customFormat="false" ht="12.75" hidden="false" customHeight="false" outlineLevel="0" collapsed="false">
      <c r="A58" s="1008"/>
      <c r="B58" s="39" t="str">
        <f aca="false">Assm!T56</f>
        <v>Term (Years) - Post Closing</v>
      </c>
      <c r="C58" s="1133" t="n">
        <f aca="false">Assm!X56</f>
        <v>23</v>
      </c>
      <c r="D58" s="39"/>
      <c r="F58" s="1131"/>
      <c r="G58" s="1006"/>
      <c r="H58" s="1005"/>
      <c r="I58" s="1007"/>
    </row>
    <row r="59" customFormat="false" ht="12.75" hidden="false" customHeight="false" outlineLevel="0" collapsed="false">
      <c r="A59" s="1008"/>
      <c r="B59" s="39" t="str">
        <f aca="false">Assm!T57</f>
        <v>Grace (Periods) - Post Closing</v>
      </c>
      <c r="C59" s="1133" t="n">
        <f aca="false">Assm!X57</f>
        <v>1</v>
      </c>
      <c r="D59" s="39"/>
      <c r="F59" s="1131"/>
      <c r="G59" s="1006"/>
      <c r="H59" s="1005"/>
      <c r="I59" s="1007"/>
    </row>
    <row r="60" customFormat="false" ht="12.75" hidden="false" customHeight="false" outlineLevel="0" collapsed="false">
      <c r="A60" s="1008"/>
      <c r="B60" s="39" t="str">
        <f aca="false">Assm!T58</f>
        <v>Average Life Of Loan (Years)</v>
      </c>
      <c r="C60" s="1133" t="n">
        <f aca="false">Assm!X58</f>
        <v>8.9</v>
      </c>
      <c r="D60" s="39"/>
      <c r="F60" s="1131"/>
      <c r="G60" s="1006"/>
      <c r="H60" s="1005"/>
      <c r="I60" s="1007"/>
    </row>
    <row r="61" customFormat="false" ht="12.75" hidden="false" customHeight="false" outlineLevel="0" collapsed="false">
      <c r="A61" s="1008"/>
      <c r="B61" s="39" t="str">
        <f aca="false">Assm!T59</f>
        <v>Interest Rate / Spread</v>
      </c>
      <c r="C61" s="1059" t="n">
        <f aca="false">Assm!X59</f>
        <v>0.13</v>
      </c>
      <c r="D61" s="39"/>
      <c r="F61" s="1131"/>
      <c r="G61" s="1006"/>
      <c r="H61" s="1005"/>
      <c r="I61" s="1007"/>
    </row>
    <row r="62" customFormat="false" ht="12.75" hidden="false" customHeight="false" outlineLevel="0" collapsed="false">
      <c r="A62" s="1008"/>
      <c r="B62" s="39" t="str">
        <f aca="false">Assm!T60</f>
        <v>Upfront Fee</v>
      </c>
      <c r="C62" s="1059" t="n">
        <f aca="false">Assm!X60</f>
        <v>0</v>
      </c>
      <c r="D62" s="39"/>
      <c r="F62" s="1131"/>
      <c r="G62" s="1006"/>
      <c r="H62" s="1005"/>
      <c r="I62" s="1007"/>
    </row>
    <row r="63" customFormat="false" ht="13.5" hidden="false" customHeight="false" outlineLevel="0" collapsed="false">
      <c r="A63" s="1014"/>
      <c r="B63" s="22" t="str">
        <f aca="false">Assm!T61</f>
        <v>Commitment Fee</v>
      </c>
      <c r="C63" s="1062" t="n">
        <f aca="false">Assm!X61</f>
        <v>0</v>
      </c>
      <c r="D63" s="22"/>
      <c r="E63" s="22"/>
      <c r="F63" s="1136"/>
      <c r="G63" s="998"/>
      <c r="H63" s="997"/>
      <c r="I63" s="999"/>
    </row>
    <row r="64" customFormat="false" ht="13.5" hidden="false" customHeight="false" outlineLevel="0" collapsed="false"/>
    <row r="65" customFormat="false" ht="12.75" hidden="false" customHeight="false" outlineLevel="0" collapsed="false">
      <c r="A65" s="1001" t="str">
        <f aca="false">Assm!T67</f>
        <v>Capital Structure ($000)</v>
      </c>
      <c r="B65" s="992" t="str">
        <f aca="false">Assm!T68</f>
        <v>Senior Debt</v>
      </c>
      <c r="C65" s="1100" t="n">
        <f aca="false">Assm!W68</f>
        <v>0.6</v>
      </c>
      <c r="D65" s="1137" t="n">
        <f aca="false">Assm!$X$68</f>
        <v>75934.8027862155</v>
      </c>
      <c r="E65" s="1138"/>
      <c r="F65" s="1129" t="s">
        <v>1085</v>
      </c>
      <c r="G65" s="994" t="n">
        <v>36391</v>
      </c>
      <c r="H65" s="993" t="s">
        <v>994</v>
      </c>
      <c r="I65" s="995" t="s">
        <v>1086</v>
      </c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</row>
    <row r="66" customFormat="false" ht="12.75" hidden="false" customHeight="false" outlineLevel="0" collapsed="false">
      <c r="A66" s="1008"/>
      <c r="B66" s="1021" t="str">
        <f aca="false">Assm!T70</f>
        <v>Equity</v>
      </c>
      <c r="C66" s="1139" t="n">
        <f aca="false">Assm!W70</f>
        <v>0.230175190492651</v>
      </c>
      <c r="D66" s="1140" t="n">
        <f aca="false">Assm!$X$70</f>
        <v>29130.5128272317</v>
      </c>
      <c r="E66" s="1141"/>
      <c r="F66" s="1131" t="s">
        <v>1085</v>
      </c>
      <c r="G66" s="1006" t="n">
        <v>36391</v>
      </c>
      <c r="H66" s="1005" t="s">
        <v>994</v>
      </c>
      <c r="I66" s="1007" t="s">
        <v>1086</v>
      </c>
    </row>
    <row r="67" customFormat="false" ht="13.5" hidden="false" customHeight="false" outlineLevel="0" collapsed="false">
      <c r="A67" s="1014"/>
      <c r="B67" s="996" t="str">
        <f aca="false">Assm!T71</f>
        <v>Total Investment</v>
      </c>
      <c r="C67" s="1102" t="n">
        <f aca="false">SUM(C65:C66)</f>
        <v>0.830175190492651</v>
      </c>
      <c r="D67" s="1142" t="n">
        <f aca="false">SUM(D65:D66)</f>
        <v>105065.315613447</v>
      </c>
      <c r="E67" s="1143"/>
      <c r="F67" s="1144"/>
      <c r="G67" s="998"/>
      <c r="H67" s="997"/>
      <c r="I67" s="999"/>
    </row>
  </sheetData>
  <mergeCells count="2">
    <mergeCell ref="C7:E7"/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true" hidden="false" outlineLevel="0" max="10" min="10" style="1" width="20.7"/>
    <col collapsed="false" customWidth="true" hidden="false" outlineLevel="0" max="11" min="11" style="1" width="32.28"/>
    <col collapsed="false" customWidth="false" hidden="false" outlineLevel="0" max="257" min="12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16"/>
      <c r="D1" s="351"/>
      <c r="E1" s="351"/>
      <c r="F1" s="469"/>
      <c r="G1" s="15"/>
      <c r="H1" s="469"/>
      <c r="I1" s="469"/>
      <c r="J1" s="469"/>
      <c r="K1" s="470"/>
      <c r="L1" s="469"/>
      <c r="M1" s="469"/>
      <c r="N1" s="471"/>
      <c r="O1" s="469"/>
      <c r="P1" s="469"/>
      <c r="Q1" s="469"/>
      <c r="R1" s="469"/>
      <c r="S1" s="469"/>
      <c r="T1" s="469"/>
      <c r="U1" s="469"/>
      <c r="V1" s="355"/>
      <c r="W1" s="469"/>
      <c r="X1" s="469"/>
      <c r="Y1" s="469"/>
      <c r="Z1" s="469"/>
      <c r="AA1" s="469"/>
      <c r="AB1" s="116"/>
      <c r="AC1" s="116"/>
      <c r="AD1" s="108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16"/>
      <c r="D2" s="351"/>
      <c r="E2" s="351"/>
      <c r="F2" s="469"/>
      <c r="G2" s="15"/>
      <c r="H2" s="469"/>
      <c r="I2" s="469"/>
      <c r="J2" s="469"/>
      <c r="K2" s="470"/>
      <c r="L2" s="469"/>
      <c r="M2" s="469"/>
      <c r="N2" s="471"/>
      <c r="O2" s="469"/>
      <c r="P2" s="469"/>
      <c r="Q2" s="469"/>
      <c r="R2" s="469"/>
      <c r="S2" s="469"/>
      <c r="T2" s="469"/>
      <c r="U2" s="469"/>
      <c r="V2" s="355"/>
      <c r="W2" s="469"/>
      <c r="X2" s="469"/>
      <c r="Y2" s="469"/>
      <c r="Z2" s="469"/>
      <c r="AA2" s="469"/>
      <c r="AB2" s="116"/>
      <c r="AC2" s="116"/>
      <c r="AD2" s="108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16"/>
      <c r="D3" s="356"/>
      <c r="E3" s="356"/>
      <c r="F3" s="469"/>
      <c r="G3" s="15"/>
      <c r="H3" s="469"/>
      <c r="I3" s="472"/>
      <c r="J3" s="469"/>
      <c r="K3" s="470"/>
      <c r="L3" s="469"/>
      <c r="M3" s="469"/>
      <c r="N3" s="471"/>
      <c r="O3" s="469"/>
      <c r="P3" s="469"/>
      <c r="Q3" s="469"/>
      <c r="R3" s="469"/>
      <c r="S3" s="469"/>
      <c r="T3" s="469"/>
      <c r="U3" s="469"/>
      <c r="V3" s="469"/>
      <c r="W3" s="473"/>
      <c r="X3" s="473"/>
      <c r="Y3" s="469"/>
      <c r="Z3" s="469"/>
      <c r="AA3" s="469"/>
      <c r="AB3" s="116"/>
      <c r="AC3" s="116"/>
      <c r="AD3" s="108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1087</v>
      </c>
      <c r="B4" s="885"/>
      <c r="C4" s="116"/>
      <c r="D4" s="885"/>
      <c r="E4" s="885"/>
      <c r="F4" s="469"/>
      <c r="G4" s="15"/>
      <c r="H4" s="469"/>
      <c r="I4" s="472"/>
      <c r="J4" s="469"/>
      <c r="K4" s="470"/>
      <c r="L4" s="469"/>
      <c r="M4" s="469"/>
      <c r="N4" s="471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469"/>
      <c r="AB4" s="116"/>
      <c r="AC4" s="116"/>
      <c r="AD4" s="108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980"/>
      <c r="B6" s="981"/>
      <c r="C6" s="981"/>
      <c r="D6" s="982"/>
      <c r="E6" s="983"/>
      <c r="F6" s="821"/>
      <c r="G6" s="821"/>
      <c r="H6" s="821" t="s">
        <v>967</v>
      </c>
      <c r="I6" s="984"/>
    </row>
    <row r="7" customFormat="false" ht="12.75" hidden="false" customHeight="false" outlineLevel="0" collapsed="false">
      <c r="A7" s="985"/>
      <c r="B7" s="836"/>
      <c r="C7" s="836"/>
      <c r="D7" s="43"/>
      <c r="E7" s="986"/>
      <c r="F7" s="921"/>
      <c r="G7" s="921" t="s">
        <v>968</v>
      </c>
      <c r="H7" s="921" t="s">
        <v>969</v>
      </c>
      <c r="I7" s="987"/>
    </row>
    <row r="8" customFormat="false" ht="13.5" hidden="false" customHeight="false" outlineLevel="0" collapsed="false">
      <c r="A8" s="988" t="s">
        <v>970</v>
      </c>
      <c r="B8" s="989" t="s">
        <v>971</v>
      </c>
      <c r="C8" s="990" t="s">
        <v>972</v>
      </c>
      <c r="D8" s="990"/>
      <c r="E8" s="990"/>
      <c r="F8" s="990" t="s">
        <v>973</v>
      </c>
      <c r="G8" s="990" t="s">
        <v>974</v>
      </c>
      <c r="H8" s="990" t="s">
        <v>975</v>
      </c>
      <c r="I8" s="991" t="s">
        <v>976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01" t="str">
        <f aca="false">Assm!T63</f>
        <v>Other Senior Debt Fees</v>
      </c>
      <c r="B10" s="992" t="str">
        <f aca="false">Assm!U63</f>
        <v>OPIC Agency Fee ($000)</v>
      </c>
      <c r="C10" s="1086"/>
      <c r="D10" s="1145" t="n">
        <f aca="false">Assm!X63</f>
        <v>25</v>
      </c>
      <c r="E10" s="820"/>
      <c r="F10" s="993" t="s">
        <v>1085</v>
      </c>
      <c r="G10" s="994" t="n">
        <v>36391</v>
      </c>
      <c r="H10" s="993" t="s">
        <v>994</v>
      </c>
      <c r="I10" s="995" t="s">
        <v>1086</v>
      </c>
    </row>
    <row r="11" customFormat="false" ht="12.75" hidden="false" customHeight="false" outlineLevel="0" collapsed="false">
      <c r="A11" s="1003"/>
      <c r="B11" s="1021" t="str">
        <f aca="false">Assm!U64</f>
        <v>EPE Percent / Amount</v>
      </c>
      <c r="C11" s="1146" t="n">
        <f aca="false">Assm!W64</f>
        <v>0.2</v>
      </c>
      <c r="D11" s="174" t="n">
        <f aca="false">Assm!X64</f>
        <v>5</v>
      </c>
      <c r="E11" s="726"/>
      <c r="F11" s="1005" t="s">
        <v>1085</v>
      </c>
      <c r="G11" s="1006" t="n">
        <v>36391</v>
      </c>
      <c r="H11" s="1005" t="s">
        <v>994</v>
      </c>
      <c r="I11" s="1007" t="s">
        <v>1086</v>
      </c>
    </row>
    <row r="12" customFormat="false" ht="13.5" hidden="false" customHeight="false" outlineLevel="0" collapsed="false">
      <c r="A12" s="1014"/>
      <c r="B12" s="996" t="str">
        <f aca="false">Assm!U65</f>
        <v>Final Year Of Payment</v>
      </c>
      <c r="C12" s="1147" t="n">
        <f aca="false">Assm!W65</f>
        <v>2015</v>
      </c>
      <c r="D12" s="630"/>
      <c r="E12" s="872"/>
      <c r="F12" s="997" t="s">
        <v>1085</v>
      </c>
      <c r="G12" s="998" t="n">
        <v>36391</v>
      </c>
      <c r="H12" s="997" t="s">
        <v>994</v>
      </c>
      <c r="I12" s="999" t="s">
        <v>1086</v>
      </c>
    </row>
    <row r="13" customFormat="false" ht="13.5" hidden="false" customHeight="false" outlineLevel="0" collapsed="false"/>
    <row r="14" customFormat="false" ht="12.75" hidden="false" customHeight="false" outlineLevel="0" collapsed="false">
      <c r="A14" s="1001" t="str">
        <f aca="false">Assm!T77</f>
        <v>DS Coverage Ratios</v>
      </c>
      <c r="B14" s="992"/>
      <c r="C14" s="1080" t="s">
        <v>295</v>
      </c>
      <c r="D14" s="1018" t="s">
        <v>156</v>
      </c>
      <c r="E14" s="820"/>
      <c r="F14" s="993"/>
      <c r="G14" s="994"/>
      <c r="H14" s="993"/>
      <c r="I14" s="995"/>
    </row>
    <row r="15" customFormat="false" ht="12.75" hidden="false" customHeight="false" outlineLevel="0" collapsed="false">
      <c r="A15" s="1008"/>
      <c r="B15" s="1021" t="s">
        <v>1088</v>
      </c>
      <c r="C15" s="1148" t="n">
        <f aca="false">Assm!W78</f>
        <v>1.4</v>
      </c>
      <c r="D15" s="259" t="n">
        <f aca="false">Assm!W79</f>
        <v>1.8</v>
      </c>
      <c r="F15" s="1071" t="s">
        <v>993</v>
      </c>
      <c r="G15" s="1006" t="n">
        <v>36166</v>
      </c>
      <c r="H15" s="1005" t="s">
        <v>994</v>
      </c>
      <c r="I15" s="1007" t="s">
        <v>1089</v>
      </c>
    </row>
    <row r="16" customFormat="false" ht="12.75" hidden="false" customHeight="false" outlineLevel="0" collapsed="false">
      <c r="A16" s="1008"/>
      <c r="B16" s="1021" t="s">
        <v>1090</v>
      </c>
      <c r="C16" s="259" t="n">
        <f aca="false">Assm!U78</f>
        <v>0.756621821850049</v>
      </c>
      <c r="D16" s="259" t="n">
        <f aca="false">Assm!U79</f>
        <v>1.41001151879495</v>
      </c>
      <c r="F16" s="1071" t="s">
        <v>987</v>
      </c>
      <c r="G16" s="1006"/>
      <c r="H16" s="1005"/>
      <c r="I16" s="1007"/>
    </row>
    <row r="17" customFormat="false" ht="13.5" hidden="false" customHeight="false" outlineLevel="0" collapsed="false">
      <c r="A17" s="1014"/>
      <c r="B17" s="996" t="s">
        <v>1091</v>
      </c>
      <c r="C17" s="264" t="n">
        <f aca="false">Assm!V78</f>
        <v>0.756621821850049</v>
      </c>
      <c r="D17" s="264" t="n">
        <f aca="false">Assm!V79</f>
        <v>1.33408271398962</v>
      </c>
      <c r="E17" s="22"/>
      <c r="F17" s="1076" t="s">
        <v>987</v>
      </c>
      <c r="G17" s="998"/>
      <c r="H17" s="997"/>
      <c r="I17" s="999"/>
    </row>
    <row r="18" customFormat="false" ht="13.5" hidden="false" customHeight="false" outlineLevel="0" collapsed="false">
      <c r="A18" s="39"/>
      <c r="B18" s="39"/>
      <c r="C18" s="39"/>
      <c r="D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1001" t="str">
        <f aca="false">Assm!T81</f>
        <v>Debt Reserve</v>
      </c>
      <c r="B19" s="992" t="str">
        <f aca="false">Assm!V81</f>
        <v>Service To Be Provided By</v>
      </c>
      <c r="C19" s="1128" t="str">
        <f aca="false">Assm!W81</f>
        <v>Dresdner Bank</v>
      </c>
      <c r="D19" s="474"/>
      <c r="E19" s="820"/>
      <c r="F19" s="993" t="s">
        <v>993</v>
      </c>
      <c r="G19" s="994" t="n">
        <v>36389</v>
      </c>
      <c r="H19" s="993" t="s">
        <v>994</v>
      </c>
      <c r="I19" s="995" t="s">
        <v>1052</v>
      </c>
    </row>
    <row r="20" customFormat="false" ht="12.75" hidden="false" customHeight="false" outlineLevel="0" collapsed="false">
      <c r="A20" s="1003"/>
      <c r="B20" s="1021" t="str">
        <f aca="false">Assm!V82</f>
        <v>Months Of Debt Service Required</v>
      </c>
      <c r="C20" s="719" t="n">
        <f aca="false">Assm!U82</f>
        <v>6</v>
      </c>
      <c r="D20" s="39"/>
      <c r="E20" s="726"/>
      <c r="F20" s="1005" t="s">
        <v>977</v>
      </c>
      <c r="G20" s="1006" t="n">
        <v>36019</v>
      </c>
      <c r="H20" s="1005" t="s">
        <v>994</v>
      </c>
      <c r="I20" s="1007" t="s">
        <v>1092</v>
      </c>
    </row>
    <row r="21" customFormat="false" ht="13.5" hidden="false" customHeight="false" outlineLevel="0" collapsed="false">
      <c r="A21" s="1014"/>
      <c r="B21" s="996" t="str">
        <f aca="false">Assm!V83</f>
        <v>L/C Fee p.a.</v>
      </c>
      <c r="C21" s="1149" t="n">
        <f aca="false">Assm!U83</f>
        <v>0.025</v>
      </c>
      <c r="D21" s="22"/>
      <c r="E21" s="872"/>
      <c r="F21" s="997" t="s">
        <v>977</v>
      </c>
      <c r="G21" s="998" t="n">
        <v>36019</v>
      </c>
      <c r="H21" s="997" t="s">
        <v>994</v>
      </c>
      <c r="I21" s="999" t="s">
        <v>1092</v>
      </c>
    </row>
    <row r="22" customFormat="false" ht="13.5" hidden="false" customHeight="false" outlineLevel="0" collapsed="false"/>
    <row r="23" customFormat="false" ht="12.75" hidden="false" customHeight="false" outlineLevel="0" collapsed="false">
      <c r="A23" s="1001" t="str">
        <f aca="false">Assm!T85</f>
        <v>Shareholder Constr Loan</v>
      </c>
      <c r="B23" s="992" t="str">
        <f aca="false">Assm!T86</f>
        <v>Amount</v>
      </c>
      <c r="C23" s="1150" t="n">
        <f aca="false">Assm!$U86</f>
        <v>73384.3835104272</v>
      </c>
      <c r="D23" s="26"/>
      <c r="E23" s="820"/>
      <c r="F23" s="993" t="s">
        <v>987</v>
      </c>
      <c r="G23" s="994"/>
      <c r="H23" s="993"/>
      <c r="I23" s="1020"/>
    </row>
    <row r="24" customFormat="false" ht="12.75" hidden="false" customHeight="false" outlineLevel="0" collapsed="false">
      <c r="A24" s="1008"/>
      <c r="B24" s="1021" t="str">
        <f aca="false">Assm!T87</f>
        <v>Interest Rate</v>
      </c>
      <c r="C24" s="1134" t="n">
        <f aca="false">Int_BL</f>
        <v>0.06</v>
      </c>
      <c r="D24" s="39"/>
      <c r="E24" s="726"/>
      <c r="F24" s="1005" t="s">
        <v>1093</v>
      </c>
      <c r="G24" s="1006" t="n">
        <v>36004</v>
      </c>
      <c r="H24" s="1005" t="s">
        <v>982</v>
      </c>
      <c r="I24" s="106" t="s">
        <v>1094</v>
      </c>
    </row>
    <row r="25" customFormat="false" ht="13.5" hidden="false" customHeight="false" outlineLevel="0" collapsed="false">
      <c r="A25" s="1014"/>
      <c r="B25" s="996" t="str">
        <f aca="false">Assm!W87</f>
        <v>Enron Cost Of Funds</v>
      </c>
      <c r="C25" s="1102" t="n">
        <f aca="false">Assm!$X87</f>
        <v>0.065</v>
      </c>
      <c r="D25" s="22"/>
      <c r="E25" s="872"/>
      <c r="F25" s="997" t="s">
        <v>1095</v>
      </c>
      <c r="G25" s="998" t="n">
        <v>36217</v>
      </c>
      <c r="H25" s="997" t="s">
        <v>1096</v>
      </c>
      <c r="I25" s="1047" t="s">
        <v>1097</v>
      </c>
    </row>
  </sheetData>
  <mergeCells count="1"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9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N21" activeCellId="0" sqref="N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1" width="9.28"/>
    <col collapsed="false" customWidth="true" hidden="false" outlineLevel="0" max="2" min="2" style="1151" width="2.42"/>
    <col collapsed="false" customWidth="true" hidden="false" outlineLevel="0" max="3" min="3" style="1" width="9.28"/>
    <col collapsed="false" customWidth="true" hidden="false" outlineLevel="0" max="4" min="4" style="1152" width="10.99"/>
    <col collapsed="false" customWidth="true" hidden="false" outlineLevel="0" max="6" min="5" style="1151" width="10.99"/>
    <col collapsed="false" customWidth="true" hidden="false" outlineLevel="0" max="7" min="7" style="1152" width="10.99"/>
    <col collapsed="false" customWidth="true" hidden="false" outlineLevel="0" max="10" min="8" style="1151" width="10.99"/>
    <col collapsed="false" customWidth="true" hidden="false" outlineLevel="0" max="11" min="11" style="1152" width="10.99"/>
    <col collapsed="false" customWidth="true" hidden="false" outlineLevel="0" max="13" min="12" style="1151" width="10.99"/>
    <col collapsed="false" customWidth="true" hidden="false" outlineLevel="0" max="14" min="14" style="1" width="12.7"/>
    <col collapsed="false" customWidth="true" hidden="false" outlineLevel="0" max="15" min="15" style="1" width="13.7"/>
    <col collapsed="false" customWidth="true" hidden="false" outlineLevel="0" max="16" min="16" style="1" width="12.7"/>
    <col collapsed="false" customWidth="true" hidden="false" outlineLevel="0" max="17" min="17" style="1" width="13.7"/>
    <col collapsed="false" customWidth="true" hidden="false" outlineLevel="0" max="18" min="18" style="1" width="12.7"/>
    <col collapsed="false" customWidth="true" hidden="false" outlineLevel="0" max="19" min="19" style="1" width="13.7"/>
    <col collapsed="false" customWidth="false" hidden="false" outlineLevel="0" max="24" min="20" style="1" width="9.14"/>
    <col collapsed="false" customWidth="false" hidden="false" outlineLevel="0" max="257" min="25" style="115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1152"/>
      <c r="C1" s="39"/>
      <c r="E1" s="1152"/>
      <c r="F1" s="1152"/>
      <c r="H1" s="1152"/>
      <c r="I1" s="1152"/>
      <c r="J1" s="1152"/>
      <c r="L1" s="1152"/>
      <c r="M1" s="1152"/>
      <c r="N1" s="1152"/>
      <c r="O1" s="1152"/>
      <c r="P1" s="1152"/>
      <c r="Q1" s="1152"/>
      <c r="R1" s="1152"/>
      <c r="S1" s="1152"/>
      <c r="T1" s="1152"/>
      <c r="U1" s="1152"/>
      <c r="V1" s="1152"/>
      <c r="W1" s="1152"/>
      <c r="X1" s="1152"/>
      <c r="Y1" s="1152"/>
      <c r="Z1" s="1152"/>
      <c r="AA1" s="1152"/>
      <c r="AB1" s="1152"/>
      <c r="AC1" s="1152"/>
      <c r="AD1" s="1152"/>
      <c r="AE1" s="1152"/>
      <c r="AF1" s="1152"/>
      <c r="AG1" s="1152"/>
      <c r="AH1" s="1152"/>
      <c r="AI1" s="1152"/>
      <c r="AJ1" s="1152"/>
      <c r="AK1" s="1152"/>
      <c r="AL1" s="1152"/>
      <c r="AM1" s="1152"/>
      <c r="AN1" s="1152"/>
      <c r="AO1" s="1152"/>
      <c r="AP1" s="1152"/>
      <c r="AQ1" s="1152"/>
      <c r="AR1" s="1152"/>
      <c r="AS1" s="1152"/>
      <c r="AT1" s="1152"/>
      <c r="AU1" s="1152"/>
      <c r="AV1" s="1152"/>
      <c r="AW1" s="1152"/>
      <c r="AX1" s="1152"/>
      <c r="AY1" s="1152"/>
      <c r="AZ1" s="1152"/>
      <c r="BA1" s="1152"/>
      <c r="BB1" s="1152"/>
      <c r="BC1" s="1152"/>
      <c r="BD1" s="1152"/>
      <c r="BE1" s="1152"/>
      <c r="BF1" s="1152"/>
      <c r="BG1" s="1152"/>
      <c r="BH1" s="1152"/>
      <c r="BI1" s="1152"/>
      <c r="BJ1" s="1152"/>
      <c r="BK1" s="1152"/>
      <c r="BL1" s="1152"/>
      <c r="BM1" s="1152"/>
      <c r="BN1" s="1152"/>
      <c r="BO1" s="1152"/>
      <c r="BP1" s="1152"/>
      <c r="BQ1" s="1152"/>
      <c r="BR1" s="1152"/>
      <c r="BS1" s="1152"/>
      <c r="BT1" s="1152"/>
      <c r="BU1" s="1152"/>
      <c r="BV1" s="1152"/>
      <c r="BW1" s="1152"/>
      <c r="BX1" s="1152"/>
      <c r="BY1" s="1152"/>
      <c r="BZ1" s="1152"/>
      <c r="CA1" s="1152"/>
      <c r="CB1" s="1152"/>
      <c r="CC1" s="1152"/>
      <c r="CD1" s="1152"/>
      <c r="CE1" s="1152"/>
      <c r="CF1" s="1152"/>
      <c r="CG1" s="1152"/>
      <c r="CH1" s="1152"/>
      <c r="CI1" s="1152"/>
      <c r="CJ1" s="1152"/>
      <c r="CK1" s="1152"/>
      <c r="CL1" s="1152"/>
      <c r="CM1" s="1152"/>
      <c r="CN1" s="1152"/>
      <c r="CO1" s="1152"/>
      <c r="CP1" s="1152"/>
      <c r="CQ1" s="1152"/>
      <c r="CR1" s="1152"/>
      <c r="CS1" s="1152"/>
      <c r="CT1" s="1152"/>
      <c r="CU1" s="1152"/>
      <c r="CV1" s="1152"/>
      <c r="CW1" s="1152"/>
      <c r="CX1" s="1152"/>
      <c r="CY1" s="1152"/>
      <c r="CZ1" s="1152"/>
      <c r="DA1" s="1152"/>
      <c r="DB1" s="1152"/>
      <c r="DC1" s="1152"/>
      <c r="DD1" s="1152"/>
      <c r="DE1" s="1152"/>
      <c r="DF1" s="1152"/>
      <c r="DG1" s="1152"/>
      <c r="DH1" s="1152"/>
      <c r="DI1" s="1152"/>
      <c r="DJ1" s="1152"/>
      <c r="DK1" s="1152"/>
      <c r="DL1" s="1152"/>
      <c r="DM1" s="1152"/>
      <c r="DN1" s="1152"/>
      <c r="DO1" s="1152"/>
      <c r="DP1" s="1152"/>
      <c r="DQ1" s="1152"/>
      <c r="DR1" s="1152"/>
      <c r="DS1" s="1152"/>
      <c r="DT1" s="1152"/>
      <c r="DU1" s="1152"/>
      <c r="DV1" s="1152"/>
      <c r="DW1" s="1152"/>
      <c r="DX1" s="1152"/>
      <c r="DY1" s="1152"/>
      <c r="DZ1" s="1152"/>
      <c r="EA1" s="1152"/>
      <c r="EB1" s="1152"/>
      <c r="EC1" s="1152"/>
      <c r="ED1" s="1152"/>
      <c r="EE1" s="1152"/>
      <c r="EF1" s="1152"/>
      <c r="EG1" s="1152"/>
      <c r="EH1" s="1152"/>
      <c r="EI1" s="1152"/>
      <c r="EJ1" s="1152"/>
      <c r="EK1" s="1152"/>
      <c r="EL1" s="1152"/>
      <c r="EM1" s="1152"/>
      <c r="EN1" s="1152"/>
      <c r="EO1" s="1152"/>
      <c r="EP1" s="1152"/>
      <c r="EQ1" s="1152"/>
      <c r="ER1" s="1152"/>
      <c r="ES1" s="1152"/>
      <c r="ET1" s="1152"/>
      <c r="EU1" s="1152"/>
      <c r="EV1" s="1152"/>
      <c r="EW1" s="1152"/>
      <c r="EX1" s="1152"/>
      <c r="EY1" s="1152"/>
      <c r="EZ1" s="1152"/>
      <c r="FA1" s="1152"/>
      <c r="FB1" s="1152"/>
      <c r="FC1" s="1152"/>
      <c r="FD1" s="1152"/>
      <c r="FE1" s="1152"/>
      <c r="FF1" s="1152"/>
      <c r="FG1" s="1152"/>
      <c r="FH1" s="1152"/>
      <c r="FI1" s="1152"/>
      <c r="FJ1" s="1152"/>
      <c r="FK1" s="1152"/>
      <c r="FL1" s="1152"/>
      <c r="FM1" s="1152"/>
      <c r="FN1" s="1152"/>
      <c r="FO1" s="1152"/>
      <c r="FP1" s="1152"/>
      <c r="FQ1" s="1152"/>
      <c r="FR1" s="1152"/>
      <c r="FS1" s="1152"/>
      <c r="FT1" s="1152"/>
      <c r="FU1" s="1152"/>
      <c r="FV1" s="1152"/>
      <c r="FW1" s="1152"/>
      <c r="FX1" s="1152"/>
      <c r="FY1" s="1152"/>
      <c r="FZ1" s="1152"/>
      <c r="GA1" s="1152"/>
      <c r="GB1" s="1152"/>
      <c r="GC1" s="1152"/>
      <c r="GD1" s="1152"/>
      <c r="GE1" s="1152"/>
      <c r="GF1" s="1152"/>
      <c r="GG1" s="1152"/>
      <c r="GH1" s="1152"/>
      <c r="GI1" s="1152"/>
      <c r="GJ1" s="1152"/>
      <c r="GK1" s="1152"/>
      <c r="GL1" s="1152"/>
      <c r="GM1" s="1152"/>
      <c r="GN1" s="1152"/>
      <c r="GO1" s="1152"/>
      <c r="GP1" s="1152"/>
      <c r="GQ1" s="1152"/>
      <c r="GR1" s="1152"/>
      <c r="GS1" s="1152"/>
      <c r="GT1" s="1152"/>
      <c r="GU1" s="1152"/>
      <c r="GV1" s="1152"/>
      <c r="GW1" s="1152"/>
      <c r="GX1" s="1152"/>
      <c r="GY1" s="1152"/>
      <c r="GZ1" s="1152"/>
      <c r="HA1" s="1152"/>
      <c r="HB1" s="1152"/>
      <c r="HC1" s="1152"/>
      <c r="HD1" s="1152"/>
      <c r="HE1" s="1152"/>
      <c r="HF1" s="1152"/>
      <c r="HG1" s="1152"/>
      <c r="HH1" s="1152"/>
      <c r="HI1" s="1152"/>
      <c r="HJ1" s="1152"/>
      <c r="HK1" s="1152"/>
      <c r="HL1" s="1152"/>
      <c r="HM1" s="1152"/>
      <c r="HN1" s="1152"/>
      <c r="HO1" s="1152"/>
      <c r="HP1" s="1152"/>
      <c r="HQ1" s="1152"/>
      <c r="HR1" s="1152"/>
      <c r="HS1" s="1152"/>
      <c r="HT1" s="1152"/>
      <c r="HU1" s="1152"/>
      <c r="HV1" s="1152"/>
      <c r="HW1" s="1152"/>
      <c r="HX1" s="1152"/>
      <c r="HY1" s="1152"/>
      <c r="HZ1" s="1152"/>
      <c r="IA1" s="1152"/>
      <c r="IB1" s="1152"/>
      <c r="IC1" s="1152"/>
      <c r="ID1" s="1152"/>
      <c r="IE1" s="1152"/>
      <c r="IF1" s="1152"/>
      <c r="IG1" s="1152"/>
      <c r="IH1" s="1152"/>
      <c r="II1" s="1152"/>
      <c r="IJ1" s="1152"/>
      <c r="IK1" s="1152"/>
      <c r="IL1" s="1152"/>
      <c r="IM1" s="1152"/>
      <c r="IN1" s="1152"/>
      <c r="IO1" s="1152"/>
      <c r="IP1" s="1152"/>
      <c r="IQ1" s="1152"/>
      <c r="IR1" s="1152"/>
      <c r="IS1" s="1152"/>
      <c r="IT1" s="1152"/>
      <c r="IU1" s="1152"/>
      <c r="IV1" s="1152"/>
      <c r="IW1" s="11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1152"/>
      <c r="C2" s="39"/>
      <c r="E2" s="1152"/>
      <c r="F2" s="1152"/>
      <c r="H2" s="1152"/>
      <c r="I2" s="1152"/>
      <c r="J2" s="1152"/>
      <c r="L2" s="1152"/>
      <c r="M2" s="1152"/>
      <c r="N2" s="1152"/>
      <c r="O2" s="1152"/>
      <c r="P2" s="1152"/>
      <c r="Q2" s="1152"/>
      <c r="R2" s="1152"/>
      <c r="S2" s="1152"/>
      <c r="T2" s="1152"/>
      <c r="U2" s="1152"/>
      <c r="V2" s="1152"/>
      <c r="W2" s="1152"/>
      <c r="X2" s="1152"/>
      <c r="Y2" s="1152"/>
      <c r="Z2" s="1152"/>
      <c r="AA2" s="1152"/>
      <c r="AB2" s="1152"/>
      <c r="AC2" s="1152"/>
      <c r="AD2" s="1152"/>
      <c r="AE2" s="1152"/>
      <c r="AF2" s="1152"/>
      <c r="AG2" s="1152"/>
      <c r="AH2" s="1152"/>
      <c r="AI2" s="1152"/>
      <c r="AJ2" s="1152"/>
      <c r="AK2" s="1152"/>
      <c r="AL2" s="1152"/>
      <c r="AM2" s="1152"/>
      <c r="AN2" s="1152"/>
      <c r="AO2" s="1152"/>
      <c r="AP2" s="1152"/>
      <c r="AQ2" s="1152"/>
      <c r="AR2" s="1152"/>
      <c r="AS2" s="1152"/>
      <c r="AT2" s="1152"/>
      <c r="AU2" s="1152"/>
      <c r="AV2" s="1152"/>
      <c r="AW2" s="1152"/>
      <c r="AX2" s="1152"/>
      <c r="AY2" s="1152"/>
      <c r="AZ2" s="1152"/>
      <c r="BA2" s="1152"/>
      <c r="BB2" s="1152"/>
      <c r="BC2" s="1152"/>
      <c r="BD2" s="1152"/>
      <c r="BE2" s="1152"/>
      <c r="BF2" s="1152"/>
      <c r="BG2" s="1152"/>
      <c r="BH2" s="1152"/>
      <c r="BI2" s="1152"/>
      <c r="BJ2" s="1152"/>
      <c r="BK2" s="1152"/>
      <c r="BL2" s="1152"/>
      <c r="BM2" s="1152"/>
      <c r="BN2" s="1152"/>
      <c r="BO2" s="1152"/>
      <c r="BP2" s="1152"/>
      <c r="BQ2" s="1152"/>
      <c r="BR2" s="1152"/>
      <c r="BS2" s="1152"/>
      <c r="BT2" s="1152"/>
      <c r="BU2" s="1152"/>
      <c r="BV2" s="1152"/>
      <c r="BW2" s="1152"/>
      <c r="BX2" s="1152"/>
      <c r="BY2" s="1152"/>
      <c r="BZ2" s="1152"/>
      <c r="CA2" s="1152"/>
      <c r="CB2" s="1152"/>
      <c r="CC2" s="1152"/>
      <c r="CD2" s="1152"/>
      <c r="CE2" s="1152"/>
      <c r="CF2" s="1152"/>
      <c r="CG2" s="1152"/>
      <c r="CH2" s="1152"/>
      <c r="CI2" s="1152"/>
      <c r="CJ2" s="1152"/>
      <c r="CK2" s="1152"/>
      <c r="CL2" s="1152"/>
      <c r="CM2" s="1152"/>
      <c r="CN2" s="1152"/>
      <c r="CO2" s="1152"/>
      <c r="CP2" s="1152"/>
      <c r="CQ2" s="1152"/>
      <c r="CR2" s="1152"/>
      <c r="CS2" s="1152"/>
      <c r="CT2" s="1152"/>
      <c r="CU2" s="1152"/>
      <c r="CV2" s="1152"/>
      <c r="CW2" s="1152"/>
      <c r="CX2" s="1152"/>
      <c r="CY2" s="1152"/>
      <c r="CZ2" s="1152"/>
      <c r="DA2" s="1152"/>
      <c r="DB2" s="1152"/>
      <c r="DC2" s="1152"/>
      <c r="DD2" s="1152"/>
      <c r="DE2" s="1152"/>
      <c r="DF2" s="1152"/>
      <c r="DG2" s="1152"/>
      <c r="DH2" s="1152"/>
      <c r="DI2" s="1152"/>
      <c r="DJ2" s="1152"/>
      <c r="DK2" s="1152"/>
      <c r="DL2" s="1152"/>
      <c r="DM2" s="1152"/>
      <c r="DN2" s="1152"/>
      <c r="DO2" s="1152"/>
      <c r="DP2" s="1152"/>
      <c r="DQ2" s="1152"/>
      <c r="DR2" s="1152"/>
      <c r="DS2" s="1152"/>
      <c r="DT2" s="1152"/>
      <c r="DU2" s="1152"/>
      <c r="DV2" s="1152"/>
      <c r="DW2" s="1152"/>
      <c r="DX2" s="1152"/>
      <c r="DY2" s="1152"/>
      <c r="DZ2" s="1152"/>
      <c r="EA2" s="1152"/>
      <c r="EB2" s="1152"/>
      <c r="EC2" s="1152"/>
      <c r="ED2" s="1152"/>
      <c r="EE2" s="1152"/>
      <c r="EF2" s="1152"/>
      <c r="EG2" s="1152"/>
      <c r="EH2" s="1152"/>
      <c r="EI2" s="1152"/>
      <c r="EJ2" s="1152"/>
      <c r="EK2" s="1152"/>
      <c r="EL2" s="1152"/>
      <c r="EM2" s="1152"/>
      <c r="EN2" s="1152"/>
      <c r="EO2" s="1152"/>
      <c r="EP2" s="1152"/>
      <c r="EQ2" s="1152"/>
      <c r="ER2" s="1152"/>
      <c r="ES2" s="1152"/>
      <c r="ET2" s="1152"/>
      <c r="EU2" s="1152"/>
      <c r="EV2" s="1152"/>
      <c r="EW2" s="1152"/>
      <c r="EX2" s="1152"/>
      <c r="EY2" s="1152"/>
      <c r="EZ2" s="1152"/>
      <c r="FA2" s="1152"/>
      <c r="FB2" s="1152"/>
      <c r="FC2" s="1152"/>
      <c r="FD2" s="1152"/>
      <c r="FE2" s="1152"/>
      <c r="FF2" s="1152"/>
      <c r="FG2" s="1152"/>
      <c r="FH2" s="1152"/>
      <c r="FI2" s="1152"/>
      <c r="FJ2" s="1152"/>
      <c r="FK2" s="1152"/>
      <c r="FL2" s="1152"/>
      <c r="FM2" s="1152"/>
      <c r="FN2" s="1152"/>
      <c r="FO2" s="1152"/>
      <c r="FP2" s="1152"/>
      <c r="FQ2" s="1152"/>
      <c r="FR2" s="1152"/>
      <c r="FS2" s="1152"/>
      <c r="FT2" s="1152"/>
      <c r="FU2" s="1152"/>
      <c r="FV2" s="1152"/>
      <c r="FW2" s="1152"/>
      <c r="FX2" s="1152"/>
      <c r="FY2" s="1152"/>
      <c r="FZ2" s="1152"/>
      <c r="GA2" s="1152"/>
      <c r="GB2" s="1152"/>
      <c r="GC2" s="1152"/>
      <c r="GD2" s="1152"/>
      <c r="GE2" s="1152"/>
      <c r="GF2" s="1152"/>
      <c r="GG2" s="1152"/>
      <c r="GH2" s="1152"/>
      <c r="GI2" s="1152"/>
      <c r="GJ2" s="1152"/>
      <c r="GK2" s="1152"/>
      <c r="GL2" s="1152"/>
      <c r="GM2" s="1152"/>
      <c r="GN2" s="1152"/>
      <c r="GO2" s="1152"/>
      <c r="GP2" s="1152"/>
      <c r="GQ2" s="1152"/>
      <c r="GR2" s="1152"/>
      <c r="GS2" s="1152"/>
      <c r="GT2" s="1152"/>
      <c r="GU2" s="1152"/>
      <c r="GV2" s="1152"/>
      <c r="GW2" s="1152"/>
      <c r="GX2" s="1152"/>
      <c r="GY2" s="1152"/>
      <c r="GZ2" s="1152"/>
      <c r="HA2" s="1152"/>
      <c r="HB2" s="1152"/>
      <c r="HC2" s="1152"/>
      <c r="HD2" s="1152"/>
      <c r="HE2" s="1152"/>
      <c r="HF2" s="1152"/>
      <c r="HG2" s="1152"/>
      <c r="HH2" s="1152"/>
      <c r="HI2" s="1152"/>
      <c r="HJ2" s="1152"/>
      <c r="HK2" s="1152"/>
      <c r="HL2" s="1152"/>
      <c r="HM2" s="1152"/>
      <c r="HN2" s="1152"/>
      <c r="HO2" s="1152"/>
      <c r="HP2" s="1152"/>
      <c r="HQ2" s="1152"/>
      <c r="HR2" s="1152"/>
      <c r="HS2" s="1152"/>
      <c r="HT2" s="1152"/>
      <c r="HU2" s="1152"/>
      <c r="HV2" s="1152"/>
      <c r="HW2" s="1152"/>
      <c r="HX2" s="1152"/>
      <c r="HY2" s="1152"/>
      <c r="HZ2" s="1152"/>
      <c r="IA2" s="1152"/>
      <c r="IB2" s="1152"/>
      <c r="IC2" s="1152"/>
      <c r="ID2" s="1152"/>
      <c r="IE2" s="1152"/>
      <c r="IF2" s="1152"/>
      <c r="IG2" s="1152"/>
      <c r="IH2" s="1152"/>
      <c r="II2" s="1152"/>
      <c r="IJ2" s="1152"/>
      <c r="IK2" s="1152"/>
      <c r="IL2" s="1152"/>
      <c r="IM2" s="1152"/>
      <c r="IN2" s="1152"/>
      <c r="IO2" s="1152"/>
      <c r="IP2" s="1152"/>
      <c r="IQ2" s="1152"/>
      <c r="IR2" s="1152"/>
      <c r="IS2" s="1152"/>
      <c r="IT2" s="1152"/>
      <c r="IU2" s="1152"/>
      <c r="IV2" s="1152"/>
      <c r="IW2" s="1152"/>
    </row>
    <row r="3" customFormat="false" ht="15" hidden="false" customHeight="false" outlineLevel="0" collapsed="false">
      <c r="A3" s="356" t="str">
        <f aca="false">Assm!A3</f>
        <v>ENRON INTERNATIONAL</v>
      </c>
      <c r="B3" s="1152"/>
      <c r="C3" s="39"/>
      <c r="E3" s="1152"/>
      <c r="F3" s="1152"/>
      <c r="H3" s="1152"/>
      <c r="I3" s="1152"/>
      <c r="J3" s="1152"/>
      <c r="L3" s="1152"/>
      <c r="M3" s="1152"/>
      <c r="N3" s="1152"/>
      <c r="O3" s="1152"/>
      <c r="P3" s="1152"/>
      <c r="Q3" s="1152"/>
      <c r="R3" s="1152"/>
      <c r="S3" s="1152"/>
      <c r="T3" s="1152"/>
      <c r="U3" s="1152"/>
      <c r="V3" s="1152"/>
      <c r="W3" s="1152"/>
      <c r="X3" s="1152"/>
      <c r="Y3" s="1152"/>
      <c r="Z3" s="1152"/>
      <c r="AA3" s="1152"/>
      <c r="AB3" s="1152"/>
      <c r="AC3" s="1152"/>
      <c r="AD3" s="1152"/>
      <c r="AE3" s="1152"/>
      <c r="AF3" s="1152"/>
      <c r="AG3" s="1152"/>
      <c r="AH3" s="1152"/>
      <c r="AI3" s="1152"/>
      <c r="AJ3" s="1152"/>
      <c r="AK3" s="1152"/>
      <c r="AL3" s="1152"/>
      <c r="AM3" s="1152"/>
      <c r="AN3" s="1152"/>
      <c r="AO3" s="1152"/>
      <c r="AP3" s="1152"/>
      <c r="AQ3" s="1152"/>
      <c r="AR3" s="1152"/>
      <c r="AS3" s="1152"/>
      <c r="AT3" s="1152"/>
      <c r="AU3" s="1152"/>
      <c r="AV3" s="1152"/>
      <c r="AW3" s="1152"/>
      <c r="AX3" s="1152"/>
      <c r="AY3" s="1152"/>
      <c r="AZ3" s="1152"/>
      <c r="BA3" s="1152"/>
      <c r="BB3" s="1152"/>
      <c r="BC3" s="1152"/>
      <c r="BD3" s="1152"/>
      <c r="BE3" s="1152"/>
      <c r="BF3" s="1152"/>
      <c r="BG3" s="1152"/>
      <c r="BH3" s="1152"/>
      <c r="BI3" s="1152"/>
      <c r="BJ3" s="1152"/>
      <c r="BK3" s="1152"/>
      <c r="BL3" s="1152"/>
      <c r="BM3" s="1152"/>
      <c r="BN3" s="1152"/>
      <c r="BO3" s="1152"/>
      <c r="BP3" s="1152"/>
      <c r="BQ3" s="1152"/>
      <c r="BR3" s="1152"/>
      <c r="BS3" s="1152"/>
      <c r="BT3" s="1152"/>
      <c r="BU3" s="1152"/>
      <c r="BV3" s="1152"/>
      <c r="BW3" s="1152"/>
      <c r="BX3" s="1152"/>
      <c r="BY3" s="1152"/>
      <c r="BZ3" s="1152"/>
      <c r="CA3" s="1152"/>
      <c r="CB3" s="1152"/>
      <c r="CC3" s="1152"/>
      <c r="CD3" s="1152"/>
      <c r="CE3" s="1152"/>
      <c r="CF3" s="1152"/>
      <c r="CG3" s="1152"/>
      <c r="CH3" s="1152"/>
      <c r="CI3" s="1152"/>
      <c r="CJ3" s="1152"/>
      <c r="CK3" s="1152"/>
      <c r="CL3" s="1152"/>
      <c r="CM3" s="1152"/>
      <c r="CN3" s="1152"/>
      <c r="CO3" s="1152"/>
      <c r="CP3" s="1152"/>
      <c r="CQ3" s="1152"/>
      <c r="CR3" s="1152"/>
      <c r="CS3" s="1152"/>
      <c r="CT3" s="1152"/>
      <c r="CU3" s="1152"/>
      <c r="CV3" s="1152"/>
      <c r="CW3" s="1152"/>
      <c r="CX3" s="1152"/>
      <c r="CY3" s="1152"/>
      <c r="CZ3" s="1152"/>
      <c r="DA3" s="1152"/>
      <c r="DB3" s="1152"/>
      <c r="DC3" s="1152"/>
      <c r="DD3" s="1152"/>
      <c r="DE3" s="1152"/>
      <c r="DF3" s="1152"/>
      <c r="DG3" s="1152"/>
      <c r="DH3" s="1152"/>
      <c r="DI3" s="1152"/>
      <c r="DJ3" s="1152"/>
      <c r="DK3" s="1152"/>
      <c r="DL3" s="1152"/>
      <c r="DM3" s="1152"/>
      <c r="DN3" s="1152"/>
      <c r="DO3" s="1152"/>
      <c r="DP3" s="1152"/>
      <c r="DQ3" s="1152"/>
      <c r="DR3" s="1152"/>
      <c r="DS3" s="1152"/>
      <c r="DT3" s="1152"/>
      <c r="DU3" s="1152"/>
      <c r="DV3" s="1152"/>
      <c r="DW3" s="1152"/>
      <c r="DX3" s="1152"/>
      <c r="DY3" s="1152"/>
      <c r="DZ3" s="1152"/>
      <c r="EA3" s="1152"/>
      <c r="EB3" s="1152"/>
      <c r="EC3" s="1152"/>
      <c r="ED3" s="1152"/>
      <c r="EE3" s="1152"/>
      <c r="EF3" s="1152"/>
      <c r="EG3" s="1152"/>
      <c r="EH3" s="1152"/>
      <c r="EI3" s="1152"/>
      <c r="EJ3" s="1152"/>
      <c r="EK3" s="1152"/>
      <c r="EL3" s="1152"/>
      <c r="EM3" s="1152"/>
      <c r="EN3" s="1152"/>
      <c r="EO3" s="1152"/>
      <c r="EP3" s="1152"/>
      <c r="EQ3" s="1152"/>
      <c r="ER3" s="1152"/>
      <c r="ES3" s="1152"/>
      <c r="ET3" s="1152"/>
      <c r="EU3" s="1152"/>
      <c r="EV3" s="1152"/>
      <c r="EW3" s="1152"/>
      <c r="EX3" s="1152"/>
      <c r="EY3" s="1152"/>
      <c r="EZ3" s="1152"/>
      <c r="FA3" s="1152"/>
      <c r="FB3" s="1152"/>
      <c r="FC3" s="1152"/>
      <c r="FD3" s="1152"/>
      <c r="FE3" s="1152"/>
      <c r="FF3" s="1152"/>
      <c r="FG3" s="1152"/>
      <c r="FH3" s="1152"/>
      <c r="FI3" s="1152"/>
      <c r="FJ3" s="1152"/>
      <c r="FK3" s="1152"/>
      <c r="FL3" s="1152"/>
      <c r="FM3" s="1152"/>
      <c r="FN3" s="1152"/>
      <c r="FO3" s="1152"/>
      <c r="FP3" s="1152"/>
      <c r="FQ3" s="1152"/>
      <c r="FR3" s="1152"/>
      <c r="FS3" s="1152"/>
      <c r="FT3" s="1152"/>
      <c r="FU3" s="1152"/>
      <c r="FV3" s="1152"/>
      <c r="FW3" s="1152"/>
      <c r="FX3" s="1152"/>
      <c r="FY3" s="1152"/>
      <c r="FZ3" s="1152"/>
      <c r="GA3" s="1152"/>
      <c r="GB3" s="1152"/>
      <c r="GC3" s="1152"/>
      <c r="GD3" s="1152"/>
      <c r="GE3" s="1152"/>
      <c r="GF3" s="1152"/>
      <c r="GG3" s="1152"/>
      <c r="GH3" s="1152"/>
      <c r="GI3" s="1152"/>
      <c r="GJ3" s="1152"/>
      <c r="GK3" s="1152"/>
      <c r="GL3" s="1152"/>
      <c r="GM3" s="1152"/>
      <c r="GN3" s="1152"/>
      <c r="GO3" s="1152"/>
      <c r="GP3" s="1152"/>
      <c r="GQ3" s="1152"/>
      <c r="GR3" s="1152"/>
      <c r="GS3" s="1152"/>
      <c r="GT3" s="1152"/>
      <c r="GU3" s="1152"/>
      <c r="GV3" s="1152"/>
      <c r="GW3" s="1152"/>
      <c r="GX3" s="1152"/>
      <c r="GY3" s="1152"/>
      <c r="GZ3" s="1152"/>
      <c r="HA3" s="1152"/>
      <c r="HB3" s="1152"/>
      <c r="HC3" s="1152"/>
      <c r="HD3" s="1152"/>
      <c r="HE3" s="1152"/>
      <c r="HF3" s="1152"/>
      <c r="HG3" s="1152"/>
      <c r="HH3" s="1152"/>
      <c r="HI3" s="1152"/>
      <c r="HJ3" s="1152"/>
      <c r="HK3" s="1152"/>
      <c r="HL3" s="1152"/>
      <c r="HM3" s="1152"/>
      <c r="HN3" s="1152"/>
      <c r="HO3" s="1152"/>
      <c r="HP3" s="1152"/>
      <c r="HQ3" s="1152"/>
      <c r="HR3" s="1152"/>
      <c r="HS3" s="1152"/>
      <c r="HT3" s="1152"/>
      <c r="HU3" s="1152"/>
      <c r="HV3" s="1152"/>
      <c r="HW3" s="1152"/>
      <c r="HX3" s="1152"/>
      <c r="HY3" s="1152"/>
      <c r="HZ3" s="1152"/>
      <c r="IA3" s="1152"/>
      <c r="IB3" s="1152"/>
      <c r="IC3" s="1152"/>
      <c r="ID3" s="1152"/>
      <c r="IE3" s="1152"/>
      <c r="IF3" s="1152"/>
      <c r="IG3" s="1152"/>
      <c r="IH3" s="1152"/>
      <c r="II3" s="1152"/>
      <c r="IJ3" s="1152"/>
      <c r="IK3" s="1152"/>
      <c r="IL3" s="1152"/>
      <c r="IM3" s="1152"/>
      <c r="IN3" s="1152"/>
      <c r="IO3" s="1152"/>
      <c r="IP3" s="1152"/>
      <c r="IQ3" s="1152"/>
      <c r="IR3" s="1152"/>
      <c r="IS3" s="1152"/>
      <c r="IT3" s="1152"/>
      <c r="IU3" s="1152"/>
      <c r="IV3" s="1152"/>
      <c r="IW3" s="1152"/>
    </row>
    <row r="4" customFormat="false" ht="15" hidden="false" customHeight="false" outlineLevel="0" collapsed="false">
      <c r="A4" s="1153" t="s">
        <v>1098</v>
      </c>
      <c r="B4" s="1154"/>
      <c r="C4" s="448"/>
      <c r="D4" s="1154"/>
      <c r="E4" s="1154"/>
      <c r="F4" s="1154"/>
      <c r="H4" s="1155" t="s">
        <v>1099</v>
      </c>
      <c r="I4" s="1155"/>
      <c r="J4" s="1152"/>
      <c r="L4" s="1152"/>
      <c r="M4" s="1152"/>
      <c r="N4" s="1152"/>
      <c r="O4" s="1152"/>
      <c r="P4" s="1152"/>
      <c r="Q4" s="1152"/>
      <c r="R4" s="1152"/>
      <c r="S4" s="1152"/>
      <c r="T4" s="1152"/>
      <c r="U4" s="1152"/>
      <c r="V4" s="1152"/>
      <c r="W4" s="1152"/>
      <c r="X4" s="1152"/>
      <c r="Y4" s="1152"/>
      <c r="Z4" s="1152"/>
      <c r="AA4" s="1152"/>
      <c r="AB4" s="1152"/>
      <c r="AC4" s="1152"/>
      <c r="AD4" s="1152"/>
      <c r="AE4" s="1152"/>
      <c r="AF4" s="1152"/>
      <c r="AG4" s="1152"/>
      <c r="AH4" s="1152"/>
      <c r="AI4" s="1152"/>
      <c r="AJ4" s="1152"/>
      <c r="AK4" s="1152"/>
      <c r="AL4" s="1152"/>
      <c r="AM4" s="1152"/>
      <c r="AN4" s="1152"/>
      <c r="AO4" s="1152"/>
      <c r="AP4" s="1152"/>
      <c r="AQ4" s="1152"/>
      <c r="AR4" s="1152"/>
      <c r="AS4" s="1152"/>
      <c r="AT4" s="1152"/>
      <c r="AU4" s="1152"/>
      <c r="AV4" s="1152"/>
      <c r="AW4" s="1152"/>
      <c r="AX4" s="1152"/>
      <c r="AY4" s="1152"/>
      <c r="AZ4" s="1152"/>
      <c r="BA4" s="1152"/>
      <c r="BB4" s="1152"/>
      <c r="BC4" s="1152"/>
      <c r="BD4" s="1152"/>
      <c r="BE4" s="1152"/>
      <c r="BF4" s="1152"/>
      <c r="BG4" s="1152"/>
      <c r="BH4" s="1152"/>
      <c r="BI4" s="1152"/>
      <c r="BJ4" s="1152"/>
      <c r="BK4" s="1152"/>
      <c r="BL4" s="1152"/>
      <c r="BM4" s="1152"/>
      <c r="BN4" s="1152"/>
      <c r="BO4" s="1152"/>
      <c r="BP4" s="1152"/>
      <c r="BQ4" s="1152"/>
      <c r="BR4" s="1152"/>
      <c r="BS4" s="1152"/>
      <c r="BT4" s="1152"/>
      <c r="BU4" s="1152"/>
      <c r="BV4" s="1152"/>
      <c r="BW4" s="1152"/>
      <c r="BX4" s="1152"/>
      <c r="BY4" s="1152"/>
      <c r="BZ4" s="1152"/>
      <c r="CA4" s="1152"/>
      <c r="CB4" s="1152"/>
      <c r="CC4" s="1152"/>
      <c r="CD4" s="1152"/>
      <c r="CE4" s="1152"/>
      <c r="CF4" s="1152"/>
      <c r="CG4" s="1152"/>
      <c r="CH4" s="1152"/>
      <c r="CI4" s="1152"/>
      <c r="CJ4" s="1152"/>
      <c r="CK4" s="1152"/>
      <c r="CL4" s="1152"/>
      <c r="CM4" s="1152"/>
      <c r="CN4" s="1152"/>
      <c r="CO4" s="1152"/>
      <c r="CP4" s="1152"/>
      <c r="CQ4" s="1152"/>
      <c r="CR4" s="1152"/>
      <c r="CS4" s="1152"/>
      <c r="CT4" s="1152"/>
      <c r="CU4" s="1152"/>
      <c r="CV4" s="1152"/>
      <c r="CW4" s="1152"/>
      <c r="CX4" s="1152"/>
      <c r="CY4" s="1152"/>
      <c r="CZ4" s="1152"/>
      <c r="DA4" s="1152"/>
      <c r="DB4" s="1152"/>
      <c r="DC4" s="1152"/>
      <c r="DD4" s="1152"/>
      <c r="DE4" s="1152"/>
      <c r="DF4" s="1152"/>
      <c r="DG4" s="1152"/>
      <c r="DH4" s="1152"/>
      <c r="DI4" s="1152"/>
      <c r="DJ4" s="1152"/>
      <c r="DK4" s="1152"/>
      <c r="DL4" s="1152"/>
      <c r="DM4" s="1152"/>
      <c r="DN4" s="1152"/>
      <c r="DO4" s="1152"/>
      <c r="DP4" s="1152"/>
      <c r="DQ4" s="1152"/>
      <c r="DR4" s="1152"/>
      <c r="DS4" s="1152"/>
      <c r="DT4" s="1152"/>
      <c r="DU4" s="1152"/>
      <c r="DV4" s="1152"/>
      <c r="DW4" s="1152"/>
      <c r="DX4" s="1152"/>
      <c r="DY4" s="1152"/>
      <c r="DZ4" s="1152"/>
      <c r="EA4" s="1152"/>
      <c r="EB4" s="1152"/>
      <c r="EC4" s="1152"/>
      <c r="ED4" s="1152"/>
      <c r="EE4" s="1152"/>
      <c r="EF4" s="1152"/>
      <c r="EG4" s="1152"/>
      <c r="EH4" s="1152"/>
      <c r="EI4" s="1152"/>
      <c r="EJ4" s="1152"/>
      <c r="EK4" s="1152"/>
      <c r="EL4" s="1152"/>
      <c r="EM4" s="1152"/>
      <c r="EN4" s="1152"/>
      <c r="EO4" s="1152"/>
      <c r="EP4" s="1152"/>
      <c r="EQ4" s="1152"/>
      <c r="ER4" s="1152"/>
      <c r="ES4" s="1152"/>
      <c r="ET4" s="1152"/>
      <c r="EU4" s="1152"/>
      <c r="EV4" s="1152"/>
      <c r="EW4" s="1152"/>
      <c r="EX4" s="1152"/>
      <c r="EY4" s="1152"/>
      <c r="EZ4" s="1152"/>
      <c r="FA4" s="1152"/>
      <c r="FB4" s="1152"/>
      <c r="FC4" s="1152"/>
      <c r="FD4" s="1152"/>
      <c r="FE4" s="1152"/>
      <c r="FF4" s="1152"/>
      <c r="FG4" s="1152"/>
      <c r="FH4" s="1152"/>
      <c r="FI4" s="1152"/>
      <c r="FJ4" s="1152"/>
      <c r="FK4" s="1152"/>
      <c r="FL4" s="1152"/>
      <c r="FM4" s="1152"/>
      <c r="FN4" s="1152"/>
      <c r="FO4" s="1152"/>
      <c r="FP4" s="1152"/>
      <c r="FQ4" s="1152"/>
      <c r="FR4" s="1152"/>
      <c r="FS4" s="1152"/>
      <c r="FT4" s="1152"/>
      <c r="FU4" s="1152"/>
      <c r="FV4" s="1152"/>
      <c r="FW4" s="1152"/>
      <c r="FX4" s="1152"/>
      <c r="FY4" s="1152"/>
      <c r="FZ4" s="1152"/>
      <c r="GA4" s="1152"/>
      <c r="GB4" s="1152"/>
      <c r="GC4" s="1152"/>
      <c r="GD4" s="1152"/>
      <c r="GE4" s="1152"/>
      <c r="GF4" s="1152"/>
      <c r="GG4" s="1152"/>
      <c r="GH4" s="1152"/>
      <c r="GI4" s="1152"/>
      <c r="GJ4" s="1152"/>
      <c r="GK4" s="1152"/>
      <c r="GL4" s="1152"/>
      <c r="GM4" s="1152"/>
      <c r="GN4" s="1152"/>
      <c r="GO4" s="1152"/>
      <c r="GP4" s="1152"/>
      <c r="GQ4" s="1152"/>
      <c r="GR4" s="1152"/>
      <c r="GS4" s="1152"/>
      <c r="GT4" s="1152"/>
      <c r="GU4" s="1152"/>
      <c r="GV4" s="1152"/>
      <c r="GW4" s="1152"/>
      <c r="GX4" s="1152"/>
      <c r="GY4" s="1152"/>
      <c r="GZ4" s="1152"/>
      <c r="HA4" s="1152"/>
      <c r="HB4" s="1152"/>
      <c r="HC4" s="1152"/>
      <c r="HD4" s="1152"/>
      <c r="HE4" s="1152"/>
      <c r="HF4" s="1152"/>
      <c r="HG4" s="1152"/>
      <c r="HH4" s="1152"/>
      <c r="HI4" s="1152"/>
      <c r="HJ4" s="1152"/>
      <c r="HK4" s="1152"/>
      <c r="HL4" s="1152"/>
      <c r="HM4" s="1152"/>
      <c r="HN4" s="1152"/>
      <c r="HO4" s="1152"/>
      <c r="HP4" s="1152"/>
      <c r="HQ4" s="1152"/>
      <c r="HR4" s="1152"/>
      <c r="HS4" s="1152"/>
      <c r="HT4" s="1152"/>
      <c r="HU4" s="1152"/>
      <c r="HV4" s="1152"/>
      <c r="HW4" s="1152"/>
      <c r="HX4" s="1152"/>
      <c r="HY4" s="1152"/>
      <c r="HZ4" s="1152"/>
      <c r="IA4" s="1152"/>
      <c r="IB4" s="1152"/>
      <c r="IC4" s="1152"/>
      <c r="ID4" s="1152"/>
      <c r="IE4" s="1152"/>
      <c r="IF4" s="1152"/>
      <c r="IG4" s="1152"/>
      <c r="IH4" s="1152"/>
      <c r="II4" s="1152"/>
      <c r="IJ4" s="1152"/>
      <c r="IK4" s="1152"/>
      <c r="IL4" s="1152"/>
      <c r="IM4" s="1152"/>
      <c r="IN4" s="1152"/>
      <c r="IO4" s="1152"/>
      <c r="IP4" s="1152"/>
      <c r="IQ4" s="1152"/>
      <c r="IR4" s="1152"/>
      <c r="IS4" s="1152"/>
      <c r="IT4" s="1152"/>
      <c r="IU4" s="1152"/>
      <c r="IV4" s="1152"/>
      <c r="IW4" s="1152"/>
    </row>
    <row r="5" customFormat="false" ht="12.75" hidden="false" customHeight="false" outlineLevel="0" collapsed="false">
      <c r="A5" s="1156"/>
      <c r="B5" s="1156"/>
      <c r="C5" s="39"/>
      <c r="E5" s="1156"/>
      <c r="F5" s="1152"/>
      <c r="H5" s="1156"/>
      <c r="I5" s="1152"/>
      <c r="J5" s="1152"/>
      <c r="L5" s="1152"/>
      <c r="M5" s="1152"/>
      <c r="N5" s="1156"/>
      <c r="O5" s="1156"/>
      <c r="P5" s="1156"/>
      <c r="Q5" s="1156"/>
      <c r="R5" s="1156"/>
      <c r="S5" s="1156"/>
      <c r="T5" s="1156"/>
      <c r="U5" s="1156"/>
      <c r="V5" s="1156"/>
      <c r="W5" s="1156"/>
      <c r="X5" s="1156"/>
      <c r="Y5" s="1156"/>
      <c r="Z5" s="1156"/>
      <c r="AA5" s="1156"/>
      <c r="AB5" s="1156"/>
      <c r="AC5" s="1156"/>
      <c r="AD5" s="1156"/>
      <c r="AE5" s="1156"/>
      <c r="AF5" s="1156"/>
      <c r="AG5" s="1156"/>
      <c r="AH5" s="1156"/>
      <c r="AI5" s="1156"/>
      <c r="AJ5" s="1156"/>
      <c r="AK5" s="1156"/>
      <c r="AL5" s="1156"/>
      <c r="AM5" s="1156"/>
      <c r="AN5" s="1156"/>
      <c r="AO5" s="1156"/>
      <c r="AP5" s="1156"/>
      <c r="AQ5" s="1156"/>
      <c r="AR5" s="1156"/>
      <c r="AS5" s="1156"/>
      <c r="AT5" s="1156"/>
      <c r="AU5" s="1156"/>
      <c r="AV5" s="1156"/>
      <c r="AW5" s="1156"/>
      <c r="AX5" s="1156"/>
      <c r="AY5" s="1156"/>
      <c r="AZ5" s="1156"/>
      <c r="BA5" s="1156"/>
      <c r="BB5" s="1156"/>
      <c r="BC5" s="1156"/>
      <c r="BD5" s="1156"/>
      <c r="BE5" s="1156"/>
      <c r="BF5" s="1156"/>
      <c r="BG5" s="1156"/>
      <c r="BH5" s="1156"/>
      <c r="BI5" s="1156"/>
      <c r="BJ5" s="1156"/>
      <c r="BK5" s="1156"/>
      <c r="BL5" s="1156"/>
      <c r="BM5" s="1156"/>
      <c r="BN5" s="1156"/>
      <c r="BO5" s="1156"/>
      <c r="BP5" s="1156"/>
      <c r="BQ5" s="1156"/>
      <c r="BR5" s="1156"/>
      <c r="BS5" s="1156"/>
      <c r="BT5" s="1156"/>
      <c r="BU5" s="1156"/>
      <c r="BV5" s="1156"/>
      <c r="BW5" s="1156"/>
      <c r="BX5" s="1156"/>
      <c r="BY5" s="1156"/>
      <c r="BZ5" s="1156"/>
      <c r="CA5" s="1156"/>
      <c r="CB5" s="1156"/>
      <c r="CC5" s="1156"/>
      <c r="CD5" s="1156"/>
      <c r="CE5" s="1156"/>
      <c r="CF5" s="1156"/>
      <c r="CG5" s="1156"/>
      <c r="CH5" s="1156"/>
      <c r="CI5" s="1156"/>
      <c r="CJ5" s="1156"/>
      <c r="CK5" s="1156"/>
      <c r="CL5" s="1156"/>
      <c r="CM5" s="1156"/>
      <c r="CN5" s="1156"/>
      <c r="CO5" s="1156"/>
      <c r="CP5" s="1156"/>
      <c r="CQ5" s="1156"/>
      <c r="CR5" s="1156"/>
      <c r="CS5" s="1156"/>
      <c r="CT5" s="1156"/>
      <c r="CU5" s="1156"/>
      <c r="CV5" s="1156"/>
      <c r="CW5" s="1156"/>
      <c r="CX5" s="1156"/>
      <c r="CY5" s="1156"/>
      <c r="CZ5" s="1156"/>
      <c r="DA5" s="1156"/>
      <c r="DB5" s="1156"/>
      <c r="DC5" s="1156"/>
      <c r="DD5" s="1156"/>
      <c r="DE5" s="1156"/>
      <c r="DF5" s="1156"/>
      <c r="DG5" s="1156"/>
      <c r="DH5" s="1156"/>
      <c r="DI5" s="1156"/>
      <c r="DJ5" s="1156"/>
      <c r="DK5" s="1156"/>
      <c r="DL5" s="1156"/>
      <c r="DM5" s="1156"/>
      <c r="DN5" s="1156"/>
      <c r="DO5" s="1156"/>
      <c r="DP5" s="1156"/>
      <c r="DQ5" s="1156"/>
      <c r="DR5" s="1156"/>
      <c r="DS5" s="1156"/>
      <c r="DT5" s="1156"/>
      <c r="DU5" s="1156"/>
      <c r="DV5" s="1156"/>
      <c r="DW5" s="1156"/>
      <c r="DX5" s="1156"/>
      <c r="DY5" s="1156"/>
      <c r="DZ5" s="1156"/>
      <c r="EA5" s="1156"/>
      <c r="EB5" s="1156"/>
      <c r="EC5" s="1156"/>
      <c r="ED5" s="1156"/>
      <c r="EE5" s="1156"/>
      <c r="EF5" s="1156"/>
      <c r="EG5" s="1156"/>
      <c r="EH5" s="1156"/>
      <c r="EI5" s="1156"/>
      <c r="EJ5" s="1156"/>
      <c r="EK5" s="1156"/>
      <c r="EL5" s="1156"/>
      <c r="EM5" s="1156"/>
      <c r="EN5" s="1156"/>
      <c r="EO5" s="1156"/>
      <c r="EP5" s="1156"/>
      <c r="EQ5" s="1156"/>
      <c r="ER5" s="1156"/>
      <c r="ES5" s="1156"/>
      <c r="ET5" s="1156"/>
      <c r="EU5" s="1156"/>
      <c r="EV5" s="1156"/>
      <c r="EW5" s="1156"/>
      <c r="EX5" s="1156"/>
      <c r="EY5" s="1156"/>
      <c r="EZ5" s="1156"/>
      <c r="FA5" s="1156"/>
      <c r="FB5" s="1156"/>
      <c r="FC5" s="1156"/>
      <c r="FD5" s="1156"/>
      <c r="FE5" s="1156"/>
      <c r="FF5" s="1156"/>
      <c r="FG5" s="1156"/>
      <c r="FH5" s="1156"/>
      <c r="FI5" s="1156"/>
      <c r="FJ5" s="1156"/>
      <c r="FK5" s="1156"/>
      <c r="FL5" s="1156"/>
      <c r="FM5" s="1156"/>
      <c r="FN5" s="1156"/>
      <c r="FO5" s="1156"/>
      <c r="FP5" s="1156"/>
      <c r="FQ5" s="1156"/>
      <c r="FR5" s="1156"/>
      <c r="FS5" s="1156"/>
      <c r="FT5" s="1156"/>
      <c r="FU5" s="1156"/>
      <c r="FV5" s="1156"/>
      <c r="FW5" s="1156"/>
      <c r="FX5" s="1156"/>
      <c r="FY5" s="1156"/>
      <c r="FZ5" s="1156"/>
      <c r="GA5" s="1156"/>
      <c r="GB5" s="1156"/>
      <c r="GC5" s="1156"/>
      <c r="GD5" s="1156"/>
      <c r="GE5" s="1156"/>
      <c r="GF5" s="1156"/>
      <c r="GG5" s="1156"/>
      <c r="GH5" s="1156"/>
      <c r="GI5" s="1156"/>
      <c r="GJ5" s="1156"/>
      <c r="GK5" s="1156"/>
      <c r="GL5" s="1156"/>
      <c r="GM5" s="1156"/>
      <c r="GN5" s="1156"/>
      <c r="GO5" s="1156"/>
      <c r="GP5" s="1156"/>
      <c r="GQ5" s="1156"/>
      <c r="GR5" s="1156"/>
      <c r="GS5" s="1156"/>
      <c r="GT5" s="1156"/>
      <c r="GU5" s="1156"/>
      <c r="GV5" s="1156"/>
      <c r="GW5" s="1156"/>
      <c r="GX5" s="1156"/>
      <c r="GY5" s="1156"/>
      <c r="GZ5" s="1156"/>
      <c r="HA5" s="1156"/>
      <c r="HB5" s="1156"/>
      <c r="HC5" s="1156"/>
      <c r="HD5" s="1156"/>
      <c r="HE5" s="1156"/>
      <c r="HF5" s="1156"/>
      <c r="HG5" s="1156"/>
      <c r="HH5" s="1156"/>
      <c r="HI5" s="1156"/>
      <c r="HJ5" s="1156"/>
      <c r="HK5" s="1156"/>
      <c r="HL5" s="1156"/>
      <c r="HM5" s="1156"/>
      <c r="HN5" s="1156"/>
      <c r="HO5" s="1156"/>
      <c r="HP5" s="1156"/>
      <c r="HQ5" s="1156"/>
      <c r="HR5" s="1156"/>
      <c r="HS5" s="1156"/>
      <c r="HT5" s="1156"/>
      <c r="HU5" s="1156"/>
      <c r="HV5" s="1156"/>
      <c r="HW5" s="1156"/>
      <c r="HX5" s="1156"/>
      <c r="HY5" s="1156"/>
      <c r="HZ5" s="1156"/>
      <c r="IA5" s="1156"/>
      <c r="IB5" s="1156"/>
      <c r="IC5" s="1156"/>
      <c r="ID5" s="1156"/>
      <c r="IE5" s="1156"/>
      <c r="IF5" s="1156"/>
      <c r="IG5" s="1156"/>
      <c r="IH5" s="1156"/>
      <c r="II5" s="1156"/>
      <c r="IJ5" s="1156"/>
      <c r="IK5" s="1156"/>
      <c r="IL5" s="1156"/>
      <c r="IM5" s="1156"/>
      <c r="IN5" s="1156"/>
      <c r="IO5" s="1156"/>
      <c r="IP5" s="1156"/>
      <c r="IQ5" s="1156"/>
      <c r="IR5" s="1156"/>
      <c r="IS5" s="1156"/>
      <c r="IT5" s="1156"/>
      <c r="IU5" s="1156"/>
      <c r="IV5" s="1156"/>
      <c r="IW5" s="1156"/>
    </row>
    <row r="6" customFormat="false" ht="12.75" hidden="false" customHeight="false" outlineLevel="0" collapsed="false">
      <c r="C6" s="1157" t="s">
        <v>1100</v>
      </c>
      <c r="D6" s="1157"/>
      <c r="E6" s="1157"/>
      <c r="F6" s="1157"/>
      <c r="G6" s="1157"/>
      <c r="H6" s="1157"/>
      <c r="I6" s="1157"/>
      <c r="J6" s="1157"/>
      <c r="K6" s="1157"/>
      <c r="L6" s="1157"/>
      <c r="M6" s="1157"/>
    </row>
    <row r="7" customFormat="false" ht="13.5" hidden="false" customHeight="false" outlineLevel="0" collapsed="false">
      <c r="D7" s="1151"/>
      <c r="G7" s="1151"/>
      <c r="K7" s="1151"/>
    </row>
    <row r="8" customFormat="false" ht="12.75" hidden="false" customHeight="false" outlineLevel="0" collapsed="false">
      <c r="A8" s="1158"/>
      <c r="C8" s="1159" t="s">
        <v>159</v>
      </c>
      <c r="D8" s="1160" t="s">
        <v>1101</v>
      </c>
      <c r="E8" s="1160" t="s">
        <v>1102</v>
      </c>
      <c r="F8" s="1161" t="s">
        <v>1102</v>
      </c>
      <c r="G8" s="1162" t="s">
        <v>1101</v>
      </c>
      <c r="H8" s="1160" t="s">
        <v>1103</v>
      </c>
      <c r="I8" s="1161" t="s">
        <v>1103</v>
      </c>
      <c r="J8" s="1162" t="s">
        <v>1104</v>
      </c>
      <c r="K8" s="1160"/>
      <c r="L8" s="1160" t="s">
        <v>1104</v>
      </c>
      <c r="M8" s="1163" t="s">
        <v>1105</v>
      </c>
    </row>
    <row r="9" customFormat="false" ht="12.75" hidden="false" customHeight="false" outlineLevel="0" collapsed="false">
      <c r="A9" s="1164"/>
      <c r="C9" s="258" t="s">
        <v>1106</v>
      </c>
      <c r="D9" s="1165" t="s">
        <v>1107</v>
      </c>
      <c r="E9" s="1165" t="s">
        <v>1108</v>
      </c>
      <c r="F9" s="1166" t="s">
        <v>1109</v>
      </c>
      <c r="G9" s="1167" t="s">
        <v>1107</v>
      </c>
      <c r="H9" s="1165" t="s">
        <v>1108</v>
      </c>
      <c r="I9" s="1166" t="s">
        <v>1109</v>
      </c>
      <c r="J9" s="1167" t="s">
        <v>1109</v>
      </c>
      <c r="K9" s="1168" t="str">
        <f aca="false">Escalation!O14</f>
        <v>US</v>
      </c>
      <c r="L9" s="1165" t="s">
        <v>1109</v>
      </c>
      <c r="M9" s="1169" t="s">
        <v>1110</v>
      </c>
    </row>
    <row r="10" customFormat="false" ht="12.75" hidden="false" customHeight="false" outlineLevel="0" collapsed="false">
      <c r="A10" s="1170" t="s">
        <v>1111</v>
      </c>
      <c r="C10" s="1171" t="s">
        <v>1112</v>
      </c>
      <c r="D10" s="288" t="s">
        <v>158</v>
      </c>
      <c r="E10" s="1172" t="s">
        <v>1113</v>
      </c>
      <c r="F10" s="1173" t="s">
        <v>1113</v>
      </c>
      <c r="G10" s="1174" t="s">
        <v>1114</v>
      </c>
      <c r="H10" s="1172" t="s">
        <v>1113</v>
      </c>
      <c r="I10" s="1173" t="s">
        <v>1113</v>
      </c>
      <c r="J10" s="1175" t="s">
        <v>1113</v>
      </c>
      <c r="K10" s="1176" t="str">
        <f aca="false">Escalation!P14</f>
        <v>CPI</v>
      </c>
      <c r="L10" s="1172" t="s">
        <v>1115</v>
      </c>
      <c r="M10" s="1177" t="s">
        <v>1116</v>
      </c>
    </row>
    <row r="11" customFormat="false" ht="12.75" hidden="false" customHeight="false" outlineLevel="0" collapsed="false">
      <c r="A11" s="1164"/>
      <c r="C11" s="37"/>
      <c r="D11" s="39"/>
      <c r="E11" s="1152"/>
      <c r="F11" s="1178"/>
      <c r="G11" s="1179"/>
      <c r="H11" s="1152"/>
      <c r="I11" s="1178"/>
      <c r="J11" s="1180"/>
      <c r="L11" s="1152"/>
      <c r="M11" s="1181"/>
    </row>
    <row r="12" customFormat="false" ht="12.75" hidden="false" customHeight="false" outlineLevel="0" collapsed="false">
      <c r="A12" s="1182" t="n">
        <f aca="false">Startops1</f>
        <v>36951</v>
      </c>
      <c r="C12" s="1183" t="n">
        <f aca="false">A13-A12</f>
        <v>31</v>
      </c>
      <c r="D12" s="1184" t="n">
        <f aca="false">IF($A12&gt;Endyr,0,IF($A12&lt;Assm!$F$32,G12,Capacity*C12))</f>
        <v>127260</v>
      </c>
      <c r="E12" s="1185" t="n">
        <f aca="false">IF($A12&gt;Endyr,0,Tariff_Cap)</f>
        <v>0.3351</v>
      </c>
      <c r="F12" s="1186" t="n">
        <f aca="false">D12*E12/1000</f>
        <v>42.644826</v>
      </c>
      <c r="G12" s="1187" t="n">
        <f aca="false">[4]MMBTU!R35</f>
        <v>127260</v>
      </c>
      <c r="H12" s="1185" t="n">
        <f aca="false">IF($A12&gt;Endyr,0,Tariff_Var)</f>
        <v>0.005</v>
      </c>
      <c r="I12" s="1186" t="n">
        <f aca="false">G12*H12/1000</f>
        <v>0.6363</v>
      </c>
      <c r="J12" s="1188" t="n">
        <f aca="false">SUM(F12,I12)</f>
        <v>43.281126</v>
      </c>
      <c r="K12" s="1189" t="n">
        <f aca="false">VLOOKUP($A12,Curves_Table,Escalation!$P$291)</f>
        <v>1.06207999503397</v>
      </c>
      <c r="L12" s="1190" t="n">
        <f aca="false">J12*K12</f>
        <v>45.9680180871445</v>
      </c>
      <c r="M12" s="1191" t="str">
        <f aca="false">IF(MONTH($A12)=12,SUM(L1:L12)," ")</f>
        <v> </v>
      </c>
    </row>
    <row r="13" customFormat="false" ht="12.75" hidden="false" customHeight="false" outlineLevel="0" collapsed="false">
      <c r="A13" s="1182" t="n">
        <f aca="false">EDATE(A12,1)</f>
        <v>36982</v>
      </c>
      <c r="C13" s="1183" t="n">
        <f aca="false">A14-A13</f>
        <v>30</v>
      </c>
      <c r="D13" s="1184" t="n">
        <f aca="false">IF($A13&gt;Endyr,0,IF($A13&lt;Assm!$F$32,G13,Capacity*C13))</f>
        <v>709020</v>
      </c>
      <c r="E13" s="1185" t="n">
        <f aca="false">IF($A13&gt;Endyr,0,Tariff_Cap)</f>
        <v>0.3351</v>
      </c>
      <c r="F13" s="1186" t="n">
        <f aca="false">D13*E13/1000</f>
        <v>237.592602</v>
      </c>
      <c r="G13" s="1187" t="n">
        <f aca="false">[4]MMBTU!R36</f>
        <v>709020</v>
      </c>
      <c r="H13" s="1185" t="n">
        <f aca="false">IF($A13&gt;Endyr,0,Tariff_Var)</f>
        <v>0.005</v>
      </c>
      <c r="I13" s="1186" t="n">
        <f aca="false">G13*H13/1000</f>
        <v>3.5451</v>
      </c>
      <c r="J13" s="1188" t="n">
        <f aca="false">SUM(F13,I13)</f>
        <v>241.137702</v>
      </c>
      <c r="K13" s="1189" t="n">
        <f aca="false">VLOOKUP($A13,Curves_Table,Escalation!$P$291)</f>
        <v>1.06207999503397</v>
      </c>
      <c r="L13" s="1190" t="n">
        <f aca="false">J13*K13</f>
        <v>256.107529342662</v>
      </c>
      <c r="M13" s="1191" t="str">
        <f aca="false">IF(MONTH($A13)=12,SUM(L2:L13)," ")</f>
        <v> </v>
      </c>
    </row>
    <row r="14" customFormat="false" ht="12.75" hidden="false" customHeight="false" outlineLevel="0" collapsed="false">
      <c r="A14" s="1182" t="n">
        <f aca="false">EDATE(A13,1)</f>
        <v>37012</v>
      </c>
      <c r="C14" s="1183" t="n">
        <f aca="false">A15-A14</f>
        <v>31</v>
      </c>
      <c r="D14" s="1184" t="n">
        <f aca="false">IF($A14&gt;Endyr,0,IF($A14&lt;Assm!$F$32,G14,Capacity*C14))</f>
        <v>1483488</v>
      </c>
      <c r="E14" s="1185" t="n">
        <f aca="false">IF($A14&gt;Endyr,0,Tariff_Cap)</f>
        <v>0.3351</v>
      </c>
      <c r="F14" s="1186" t="n">
        <f aca="false">D14*E14/1000</f>
        <v>497.1168288</v>
      </c>
      <c r="G14" s="1187" t="n">
        <f aca="false">[4]MMBTU!R37</f>
        <v>1483488</v>
      </c>
      <c r="H14" s="1185" t="n">
        <f aca="false">IF($A14&gt;Endyr,0,Tariff_Var)</f>
        <v>0.005</v>
      </c>
      <c r="I14" s="1186" t="n">
        <f aca="false">G14*H14/1000</f>
        <v>7.41744</v>
      </c>
      <c r="J14" s="1188" t="n">
        <f aca="false">SUM(F14,I14)</f>
        <v>504.5342688</v>
      </c>
      <c r="K14" s="1189" t="n">
        <f aca="false">VLOOKUP($A14,Curves_Table,Escalation!$P$291)</f>
        <v>1.09718061747934</v>
      </c>
      <c r="L14" s="1190" t="n">
        <f aca="false">J14*K14</f>
        <v>553.565220581472</v>
      </c>
      <c r="M14" s="1191" t="str">
        <f aca="false">IF(MONTH($A14)=12,SUM(L3:L14)," ")</f>
        <v> </v>
      </c>
    </row>
    <row r="15" customFormat="false" ht="12.75" hidden="false" customHeight="false" outlineLevel="0" collapsed="false">
      <c r="A15" s="1182" t="n">
        <f aca="false">EDATE(A14,1)</f>
        <v>37043</v>
      </c>
      <c r="C15" s="1183" t="n">
        <f aca="false">A16-A15</f>
        <v>30</v>
      </c>
      <c r="D15" s="1184" t="n">
        <f aca="false">IF($A15&gt;Endyr,0,IF($A15&lt;Assm!$F$32,G15,Capacity*C15))</f>
        <v>2344492.8</v>
      </c>
      <c r="E15" s="1185" t="n">
        <f aca="false">IF($A15&gt;Endyr,0,Tariff_Cap)</f>
        <v>0.3351</v>
      </c>
      <c r="F15" s="1186" t="n">
        <f aca="false">D15*E15/1000</f>
        <v>785.63953728</v>
      </c>
      <c r="G15" s="1187" t="n">
        <f aca="false">[4]MMBTU!R38</f>
        <v>2344492.8</v>
      </c>
      <c r="H15" s="1185" t="n">
        <f aca="false">IF($A15&gt;Endyr,0,Tariff_Var)</f>
        <v>0.005</v>
      </c>
      <c r="I15" s="1186" t="n">
        <f aca="false">G15*H15/1000</f>
        <v>11.722464</v>
      </c>
      <c r="J15" s="1188" t="n">
        <f aca="false">SUM(F15,I15)</f>
        <v>797.36200128</v>
      </c>
      <c r="K15" s="1189" t="n">
        <f aca="false">VLOOKUP($A15,Curves_Table,Escalation!$P$291)</f>
        <v>1.09718061747934</v>
      </c>
      <c r="L15" s="1190" t="n">
        <f aca="false">J15*K15</f>
        <v>874.850132918953</v>
      </c>
      <c r="M15" s="1191" t="str">
        <f aca="false">IF(MONTH($A15)=12,SUM(L4:L15)," ")</f>
        <v> </v>
      </c>
    </row>
    <row r="16" customFormat="false" ht="12.75" hidden="false" customHeight="false" outlineLevel="0" collapsed="false">
      <c r="A16" s="1182" t="n">
        <f aca="false">EDATE(A15,1)</f>
        <v>37073</v>
      </c>
      <c r="C16" s="1183" t="n">
        <f aca="false">A17-A16</f>
        <v>31</v>
      </c>
      <c r="D16" s="1184" t="n">
        <f aca="false">IF($A16&gt;Endyr,0,IF($A16&lt;Assm!$F$32,G16,Capacity*C16))</f>
        <v>2367541</v>
      </c>
      <c r="E16" s="1185" t="n">
        <f aca="false">IF($A16&gt;Endyr,0,Tariff_Cap)</f>
        <v>0.3351</v>
      </c>
      <c r="F16" s="1186" t="n">
        <f aca="false">D16*E16/1000</f>
        <v>793.3629891</v>
      </c>
      <c r="G16" s="1187" t="n">
        <f aca="false">[4]MMBTU!R39</f>
        <v>2367541</v>
      </c>
      <c r="H16" s="1185" t="n">
        <f aca="false">IF($A16&gt;Endyr,0,Tariff_Var)</f>
        <v>0.005</v>
      </c>
      <c r="I16" s="1186" t="n">
        <f aca="false">G16*H16/1000</f>
        <v>11.837705</v>
      </c>
      <c r="J16" s="1188" t="n">
        <f aca="false">SUM(F16,I16)</f>
        <v>805.2006941</v>
      </c>
      <c r="K16" s="1189" t="n">
        <f aca="false">VLOOKUP($A16,Curves_Table,Escalation!$P$291)</f>
        <v>1.09718061747934</v>
      </c>
      <c r="L16" s="1190" t="n">
        <f aca="false">J16*K16</f>
        <v>883.450594747432</v>
      </c>
      <c r="M16" s="1191" t="str">
        <f aca="false">IF(MONTH($A16)=12,SUM(L5:L16)," ")</f>
        <v> </v>
      </c>
    </row>
    <row r="17" customFormat="false" ht="12.75" hidden="false" customHeight="false" outlineLevel="0" collapsed="false">
      <c r="A17" s="1182" t="n">
        <f aca="false">EDATE(A16,1)</f>
        <v>37104</v>
      </c>
      <c r="C17" s="1183" t="n">
        <f aca="false">A18-A17</f>
        <v>31</v>
      </c>
      <c r="D17" s="1184" t="n">
        <f aca="false">IF($A17&gt;Endyr,0,IF($A17&lt;Assm!$F$32,G17,Capacity*C17))</f>
        <v>3192690</v>
      </c>
      <c r="E17" s="1185" t="n">
        <f aca="false">IF($A17&gt;Endyr,0,Tariff_Cap)</f>
        <v>0.3351</v>
      </c>
      <c r="F17" s="1186" t="n">
        <f aca="false">D17*E17/1000</f>
        <v>1069.870419</v>
      </c>
      <c r="G17" s="1187" t="n">
        <f aca="false">[4]MMBTU!R40</f>
        <v>2092866.048</v>
      </c>
      <c r="H17" s="1185" t="n">
        <f aca="false">IF($A17&gt;Endyr,0,Tariff_Var)</f>
        <v>0.005</v>
      </c>
      <c r="I17" s="1186" t="n">
        <f aca="false">G17*H17/1000</f>
        <v>10.46433024</v>
      </c>
      <c r="J17" s="1188" t="n">
        <f aca="false">SUM(F17,I17)</f>
        <v>1080.33474924</v>
      </c>
      <c r="K17" s="1189" t="n">
        <f aca="false">VLOOKUP($A17,Curves_Table,Escalation!$P$291)</f>
        <v>1.09718061747934</v>
      </c>
      <c r="L17" s="1190" t="n">
        <f aca="false">J17*K17</f>
        <v>1185.32234725553</v>
      </c>
      <c r="M17" s="1191" t="str">
        <f aca="false">IF(MONTH($A17)=12,SUM(L6:L17)," ")</f>
        <v> </v>
      </c>
    </row>
    <row r="18" customFormat="false" ht="12.75" hidden="false" customHeight="false" outlineLevel="0" collapsed="false">
      <c r="A18" s="1182" t="n">
        <f aca="false">EDATE(A17,1)</f>
        <v>37135</v>
      </c>
      <c r="C18" s="1183" t="n">
        <f aca="false">A19-A18</f>
        <v>30</v>
      </c>
      <c r="D18" s="1184" t="n">
        <f aca="false">IF($A18&gt;Endyr,0,IF($A18&lt;Assm!$F$32,G18,Capacity*C18))</f>
        <v>3089700</v>
      </c>
      <c r="E18" s="1185" t="n">
        <f aca="false">IF($A18&gt;Endyr,0,Tariff_Cap)</f>
        <v>0.3351</v>
      </c>
      <c r="F18" s="1186" t="n">
        <f aca="false">D18*E18/1000</f>
        <v>1035.35847</v>
      </c>
      <c r="G18" s="1187" t="n">
        <f aca="false">[4]MMBTU!R41</f>
        <v>2025354.24</v>
      </c>
      <c r="H18" s="1185" t="n">
        <f aca="false">IF($A18&gt;Endyr,0,Tariff_Var)</f>
        <v>0.005</v>
      </c>
      <c r="I18" s="1186" t="n">
        <f aca="false">G18*H18/1000</f>
        <v>10.1267712</v>
      </c>
      <c r="J18" s="1188" t="n">
        <f aca="false">SUM(F18,I18)</f>
        <v>1045.4852412</v>
      </c>
      <c r="K18" s="1189" t="n">
        <f aca="false">VLOOKUP($A18,Curves_Table,Escalation!$P$291)</f>
        <v>1.09718061747934</v>
      </c>
      <c r="L18" s="1190" t="n">
        <f aca="false">J18*K18</f>
        <v>1147.08614250535</v>
      </c>
      <c r="M18" s="1191" t="str">
        <f aca="false">IF(MONTH($A18)=12,SUM(L7:L18)," ")</f>
        <v> </v>
      </c>
    </row>
    <row r="19" customFormat="false" ht="12.75" hidden="false" customHeight="false" outlineLevel="0" collapsed="false">
      <c r="A19" s="1182" t="n">
        <f aca="false">EDATE(A18,1)</f>
        <v>37165</v>
      </c>
      <c r="C19" s="1183" t="n">
        <f aca="false">A20-A19</f>
        <v>31</v>
      </c>
      <c r="D19" s="1184" t="n">
        <f aca="false">IF($A19&gt;Endyr,0,IF($A19&lt;Assm!$F$32,G19,Capacity*C19))</f>
        <v>3192690</v>
      </c>
      <c r="E19" s="1185" t="n">
        <f aca="false">IF($A19&gt;Endyr,0,Tariff_Cap)</f>
        <v>0.3351</v>
      </c>
      <c r="F19" s="1186" t="n">
        <f aca="false">D19*E19/1000</f>
        <v>1069.870419</v>
      </c>
      <c r="G19" s="1187" t="n">
        <f aca="false">[4]MMBTU!R42</f>
        <v>2092866.048</v>
      </c>
      <c r="H19" s="1185" t="n">
        <f aca="false">IF($A19&gt;Endyr,0,Tariff_Var)</f>
        <v>0.005</v>
      </c>
      <c r="I19" s="1186" t="n">
        <f aca="false">G19*H19/1000</f>
        <v>10.46433024</v>
      </c>
      <c r="J19" s="1188" t="n">
        <f aca="false">SUM(F19,I19)</f>
        <v>1080.33474924</v>
      </c>
      <c r="K19" s="1189" t="n">
        <f aca="false">VLOOKUP($A19,Curves_Table,Escalation!$P$291)</f>
        <v>1.09718061747934</v>
      </c>
      <c r="L19" s="1190" t="n">
        <f aca="false">J19*K19</f>
        <v>1185.32234725553</v>
      </c>
      <c r="M19" s="1191" t="str">
        <f aca="false">IF(MONTH($A19)=12,SUM(L8:L19)," ")</f>
        <v> </v>
      </c>
    </row>
    <row r="20" customFormat="false" ht="12.75" hidden="false" customHeight="false" outlineLevel="0" collapsed="false">
      <c r="A20" s="1182" t="n">
        <f aca="false">EDATE(A19,1)</f>
        <v>37196</v>
      </c>
      <c r="C20" s="1183" t="n">
        <f aca="false">A21-A20</f>
        <v>30</v>
      </c>
      <c r="D20" s="1184" t="n">
        <f aca="false">IF($A20&gt;Endyr,0,IF($A20&lt;Assm!$F$32,G20,Capacity*C20))</f>
        <v>3089700</v>
      </c>
      <c r="E20" s="1185" t="n">
        <f aca="false">IF($A20&gt;Endyr,0,Tariff_Cap)</f>
        <v>0.3351</v>
      </c>
      <c r="F20" s="1186" t="n">
        <f aca="false">D20*E20/1000</f>
        <v>1035.35847</v>
      </c>
      <c r="G20" s="1187" t="n">
        <f aca="false">[4]MMBTU!R43</f>
        <v>2025354.24</v>
      </c>
      <c r="H20" s="1185" t="n">
        <f aca="false">IF($A20&gt;Endyr,0,Tariff_Var)</f>
        <v>0.005</v>
      </c>
      <c r="I20" s="1186" t="n">
        <f aca="false">G20*H20/1000</f>
        <v>10.1267712</v>
      </c>
      <c r="J20" s="1188" t="n">
        <f aca="false">SUM(F20,I20)</f>
        <v>1045.4852412</v>
      </c>
      <c r="K20" s="1189" t="n">
        <f aca="false">VLOOKUP($A20,Curves_Table,Escalation!$P$291)</f>
        <v>1.09718061747934</v>
      </c>
      <c r="L20" s="1190" t="n">
        <f aca="false">J20*K20</f>
        <v>1147.08614250535</v>
      </c>
      <c r="M20" s="1191" t="str">
        <f aca="false">IF(MONTH($A20)=12,SUM(L9:L20)," ")</f>
        <v> </v>
      </c>
    </row>
    <row r="21" customFormat="false" ht="12.75" hidden="false" customHeight="false" outlineLevel="0" collapsed="false">
      <c r="A21" s="1182" t="n">
        <f aca="false">EDATE(A20,1)</f>
        <v>37226</v>
      </c>
      <c r="C21" s="1183" t="n">
        <f aca="false">A22-A21</f>
        <v>31</v>
      </c>
      <c r="D21" s="1184" t="n">
        <f aca="false">IF($A21&gt;Endyr,0,IF($A21&lt;Assm!$F$32,G21,Capacity*C21))</f>
        <v>3192690</v>
      </c>
      <c r="E21" s="1185" t="n">
        <f aca="false">IF($A21&gt;Endyr,0,Tariff_Cap)</f>
        <v>0.3351</v>
      </c>
      <c r="F21" s="1186" t="n">
        <f aca="false">D21*E21/1000</f>
        <v>1069.870419</v>
      </c>
      <c r="G21" s="1187" t="n">
        <f aca="false">[4]MMBTU!R44</f>
        <v>2092866.048</v>
      </c>
      <c r="H21" s="1185" t="n">
        <f aca="false">IF($A21&gt;Endyr,0,Tariff_Var)</f>
        <v>0.005</v>
      </c>
      <c r="I21" s="1186" t="n">
        <f aca="false">G21*H21/1000</f>
        <v>10.46433024</v>
      </c>
      <c r="J21" s="1188" t="n">
        <f aca="false">SUM(F21,I21)</f>
        <v>1080.33474924</v>
      </c>
      <c r="K21" s="1189" t="n">
        <f aca="false">VLOOKUP($A21,Curves_Table,Escalation!$P$291)</f>
        <v>1.09718061747934</v>
      </c>
      <c r="L21" s="1190" t="n">
        <f aca="false">J21*K21</f>
        <v>1185.32234725553</v>
      </c>
      <c r="M21" s="1191" t="n">
        <f aca="false">IF(MONTH($A21)=12,SUM(L10:L21)," ")</f>
        <v>8464.08082245497</v>
      </c>
      <c r="N21" s="1192" t="n">
        <f aca="false">SUM(D12:D21)</f>
        <v>22789271.8</v>
      </c>
    </row>
    <row r="22" customFormat="false" ht="12.75" hidden="false" customHeight="false" outlineLevel="0" collapsed="false">
      <c r="A22" s="1182" t="n">
        <f aca="false">EDATE(A21,1)</f>
        <v>37257</v>
      </c>
      <c r="C22" s="1183" t="n">
        <f aca="false">A23-A22</f>
        <v>31</v>
      </c>
      <c r="D22" s="1184" t="n">
        <f aca="false">IF($A22&gt;Endyr,0,IF($A22&lt;Assm!$F$32,G22,Capacity*C22))</f>
        <v>3192690</v>
      </c>
      <c r="E22" s="1185" t="n">
        <f aca="false">IF($A22&gt;Endyr,0,Tariff_Cap)</f>
        <v>0.3351</v>
      </c>
      <c r="F22" s="1186" t="n">
        <f aca="false">D22*E22/1000</f>
        <v>1069.870419</v>
      </c>
      <c r="G22" s="1187" t="n">
        <f aca="false">[4]MMBTU!R45</f>
        <v>2092866.048</v>
      </c>
      <c r="H22" s="1185" t="n">
        <f aca="false">IF($A22&gt;Endyr,0,Tariff_Var)</f>
        <v>0.005</v>
      </c>
      <c r="I22" s="1186" t="n">
        <f aca="false">G22*H22/1000</f>
        <v>10.46433024</v>
      </c>
      <c r="J22" s="1188" t="n">
        <f aca="false">SUM(F22,I22)</f>
        <v>1080.33474924</v>
      </c>
      <c r="K22" s="1189" t="n">
        <f aca="false">VLOOKUP($A22,Curves_Table,Escalation!$P$291)</f>
        <v>1.09718061747934</v>
      </c>
      <c r="L22" s="1190" t="n">
        <f aca="false">J22*K22</f>
        <v>1185.32234725553</v>
      </c>
      <c r="M22" s="1191" t="str">
        <f aca="false">IF(MONTH($A22)=12,SUM(L11:L22)," ")</f>
        <v> </v>
      </c>
    </row>
    <row r="23" customFormat="false" ht="12.75" hidden="false" customHeight="false" outlineLevel="0" collapsed="false">
      <c r="A23" s="1182" t="n">
        <f aca="false">EDATE(A22,1)</f>
        <v>37288</v>
      </c>
      <c r="C23" s="1183" t="n">
        <f aca="false">A24-A23</f>
        <v>28</v>
      </c>
      <c r="D23" s="1184" t="n">
        <f aca="false">IF($A23&gt;Endyr,0,IF($A23&lt;Assm!$F$32,G23,Capacity*C23))</f>
        <v>2883720</v>
      </c>
      <c r="E23" s="1185" t="n">
        <f aca="false">IF($A23&gt;Endyr,0,Tariff_Cap)</f>
        <v>0.3351</v>
      </c>
      <c r="F23" s="1186" t="n">
        <f aca="false">D23*E23/1000</f>
        <v>966.334572</v>
      </c>
      <c r="G23" s="1187" t="n">
        <f aca="false">[4]MMBTU!R46</f>
        <v>1890330.624</v>
      </c>
      <c r="H23" s="1185" t="n">
        <f aca="false">IF($A23&gt;Endyr,0,Tariff_Var)</f>
        <v>0.005</v>
      </c>
      <c r="I23" s="1186" t="n">
        <f aca="false">G23*H23/1000</f>
        <v>9.45165312</v>
      </c>
      <c r="J23" s="1188" t="n">
        <f aca="false">SUM(F23,I23)</f>
        <v>975.78622512</v>
      </c>
      <c r="K23" s="1189" t="n">
        <f aca="false">VLOOKUP($A23,Curves_Table,Escalation!$P$291)</f>
        <v>1.09718061747934</v>
      </c>
      <c r="L23" s="1190" t="n">
        <f aca="false">J23*K23</f>
        <v>1070.613733005</v>
      </c>
      <c r="M23" s="1191" t="str">
        <f aca="false">IF(MONTH($A23)=12,SUM(L12:L23)," ")</f>
        <v> </v>
      </c>
    </row>
    <row r="24" customFormat="false" ht="12.75" hidden="false" customHeight="false" outlineLevel="0" collapsed="false">
      <c r="A24" s="1182" t="n">
        <f aca="false">EDATE(A23,1)</f>
        <v>37316</v>
      </c>
      <c r="C24" s="1183" t="n">
        <f aca="false">A25-A24</f>
        <v>31</v>
      </c>
      <c r="D24" s="1184" t="n">
        <f aca="false">IF($A24&gt;Endyr,0,IF($A24&lt;Assm!$F$32,G24,Capacity*C24))</f>
        <v>3192690</v>
      </c>
      <c r="E24" s="1185" t="n">
        <f aca="false">IF($A24&gt;Endyr,0,Tariff_Cap)</f>
        <v>0.3351</v>
      </c>
      <c r="F24" s="1186" t="n">
        <f aca="false">D24*E24/1000</f>
        <v>1069.870419</v>
      </c>
      <c r="G24" s="1187" t="n">
        <f aca="false">[4]MMBTU!R47</f>
        <v>2092866.048</v>
      </c>
      <c r="H24" s="1185" t="n">
        <f aca="false">IF($A24&gt;Endyr,0,Tariff_Var)</f>
        <v>0.005</v>
      </c>
      <c r="I24" s="1186" t="n">
        <f aca="false">G24*H24/1000</f>
        <v>10.46433024</v>
      </c>
      <c r="J24" s="1188" t="n">
        <f aca="false">SUM(F24,I24)</f>
        <v>1080.33474924</v>
      </c>
      <c r="K24" s="1189" t="n">
        <f aca="false">VLOOKUP($A24,Curves_Table,Escalation!$P$291)</f>
        <v>1.09718061747934</v>
      </c>
      <c r="L24" s="1190" t="n">
        <f aca="false">J24*K24</f>
        <v>1185.32234725553</v>
      </c>
      <c r="M24" s="1191" t="str">
        <f aca="false">IF(MONTH($A24)=12,SUM(L13:L24)," ")</f>
        <v> </v>
      </c>
    </row>
    <row r="25" customFormat="false" ht="12.75" hidden="false" customHeight="false" outlineLevel="0" collapsed="false">
      <c r="A25" s="1182" t="n">
        <f aca="false">EDATE(A24,1)</f>
        <v>37347</v>
      </c>
      <c r="C25" s="1183" t="n">
        <f aca="false">A26-A25</f>
        <v>30</v>
      </c>
      <c r="D25" s="1184" t="n">
        <f aca="false">IF($A25&gt;Endyr,0,IF($A25&lt;Assm!$F$32,G25,Capacity*C25))</f>
        <v>3089700</v>
      </c>
      <c r="E25" s="1185" t="n">
        <f aca="false">IF($A25&gt;Endyr,0,Tariff_Cap)</f>
        <v>0.3351</v>
      </c>
      <c r="F25" s="1186" t="n">
        <f aca="false">D25*E25/1000</f>
        <v>1035.35847</v>
      </c>
      <c r="G25" s="1187" t="n">
        <f aca="false">[4]MMBTU!R48</f>
        <v>2025354.24</v>
      </c>
      <c r="H25" s="1185" t="n">
        <f aca="false">IF($A25&gt;Endyr,0,Tariff_Var)</f>
        <v>0.005</v>
      </c>
      <c r="I25" s="1186" t="n">
        <f aca="false">G25*H25/1000</f>
        <v>10.1267712</v>
      </c>
      <c r="J25" s="1188" t="n">
        <f aca="false">SUM(F25,I25)</f>
        <v>1045.4852412</v>
      </c>
      <c r="K25" s="1189" t="n">
        <f aca="false">VLOOKUP($A25,Curves_Table,Escalation!$P$291)</f>
        <v>1.09718061747934</v>
      </c>
      <c r="L25" s="1190" t="n">
        <f aca="false">J25*K25</f>
        <v>1147.08614250535</v>
      </c>
      <c r="M25" s="1191" t="str">
        <f aca="false">IF(MONTH($A25)=12,SUM(L14:L25)," ")</f>
        <v> </v>
      </c>
    </row>
    <row r="26" customFormat="false" ht="12.75" hidden="false" customHeight="false" outlineLevel="0" collapsed="false">
      <c r="A26" s="1182" t="n">
        <f aca="false">EDATE(A25,1)</f>
        <v>37377</v>
      </c>
      <c r="C26" s="1183" t="n">
        <f aca="false">A27-A26</f>
        <v>31</v>
      </c>
      <c r="D26" s="1184" t="n">
        <f aca="false">IF($A26&gt;Endyr,0,IF($A26&lt;Assm!$F$32,G26,Capacity*C26))</f>
        <v>3192690</v>
      </c>
      <c r="E26" s="1185" t="n">
        <f aca="false">IF($A26&gt;Endyr,0,Tariff_Cap)</f>
        <v>0.3351</v>
      </c>
      <c r="F26" s="1186" t="n">
        <f aca="false">D26*E26/1000</f>
        <v>1069.870419</v>
      </c>
      <c r="G26" s="1187" t="n">
        <f aca="false">[4]MMBTU!R49</f>
        <v>2092866.048</v>
      </c>
      <c r="H26" s="1185" t="n">
        <f aca="false">IF($A26&gt;Endyr,0,Tariff_Var)</f>
        <v>0.005</v>
      </c>
      <c r="I26" s="1186" t="n">
        <f aca="false">G26*H26/1000</f>
        <v>10.46433024</v>
      </c>
      <c r="J26" s="1188" t="n">
        <f aca="false">SUM(F26,I26)</f>
        <v>1080.33474924</v>
      </c>
      <c r="K26" s="1189" t="n">
        <f aca="false">VLOOKUP($A26,Curves_Table,Escalation!$P$291)</f>
        <v>1.13219066683837</v>
      </c>
      <c r="L26" s="1190" t="n">
        <f aca="false">J26*K26</f>
        <v>1223.14492015069</v>
      </c>
      <c r="M26" s="1191" t="str">
        <f aca="false">IF(MONTH($A26)=12,SUM(L15:L26)," ")</f>
        <v> </v>
      </c>
    </row>
    <row r="27" customFormat="false" ht="12.75" hidden="false" customHeight="false" outlineLevel="0" collapsed="false">
      <c r="A27" s="1182" t="n">
        <f aca="false">EDATE(A26,1)</f>
        <v>37408</v>
      </c>
      <c r="C27" s="1183" t="n">
        <f aca="false">A28-A27</f>
        <v>30</v>
      </c>
      <c r="D27" s="1184" t="n">
        <f aca="false">IF($A27&gt;Endyr,0,IF($A27&lt;Assm!$F$32,G27,Capacity*C27))</f>
        <v>3089700</v>
      </c>
      <c r="E27" s="1185" t="n">
        <f aca="false">IF($A27&gt;Endyr,0,Tariff_Cap)</f>
        <v>0.3351</v>
      </c>
      <c r="F27" s="1186" t="n">
        <f aca="false">D27*E27/1000</f>
        <v>1035.35847</v>
      </c>
      <c r="G27" s="1187" t="n">
        <f aca="false">[4]MMBTU!R50</f>
        <v>2025354.24</v>
      </c>
      <c r="H27" s="1185" t="n">
        <f aca="false">IF($A27&gt;Endyr,0,Tariff_Var)</f>
        <v>0.005</v>
      </c>
      <c r="I27" s="1186" t="n">
        <f aca="false">G27*H27/1000</f>
        <v>10.1267712</v>
      </c>
      <c r="J27" s="1188" t="n">
        <f aca="false">SUM(F27,I27)</f>
        <v>1045.4852412</v>
      </c>
      <c r="K27" s="1189" t="n">
        <f aca="false">VLOOKUP($A27,Curves_Table,Escalation!$P$291)</f>
        <v>1.13219066683837</v>
      </c>
      <c r="L27" s="1190" t="n">
        <f aca="false">J27*K27</f>
        <v>1183.6886324039</v>
      </c>
      <c r="M27" s="1191" t="str">
        <f aca="false">IF(MONTH($A27)=12,SUM(L16:L27)," ")</f>
        <v> </v>
      </c>
    </row>
    <row r="28" customFormat="false" ht="12.75" hidden="false" customHeight="false" outlineLevel="0" collapsed="false">
      <c r="A28" s="1182" t="n">
        <f aca="false">EDATE(A27,1)</f>
        <v>37438</v>
      </c>
      <c r="C28" s="1183" t="n">
        <f aca="false">A29-A28</f>
        <v>31</v>
      </c>
      <c r="D28" s="1184" t="n">
        <f aca="false">IF($A28&gt;Endyr,0,IF($A28&lt;Assm!$F$32,G28,Capacity*C28))</f>
        <v>3192690</v>
      </c>
      <c r="E28" s="1185" t="n">
        <f aca="false">IF($A28&gt;Endyr,0,Tariff_Cap)</f>
        <v>0.3351</v>
      </c>
      <c r="F28" s="1186" t="n">
        <f aca="false">D28*E28/1000</f>
        <v>1069.870419</v>
      </c>
      <c r="G28" s="1187" t="n">
        <f aca="false">[4]MMBTU!R51</f>
        <v>2092866.048</v>
      </c>
      <c r="H28" s="1185" t="n">
        <f aca="false">IF($A28&gt;Endyr,0,Tariff_Var)</f>
        <v>0.005</v>
      </c>
      <c r="I28" s="1186" t="n">
        <f aca="false">G28*H28/1000</f>
        <v>10.46433024</v>
      </c>
      <c r="J28" s="1188" t="n">
        <f aca="false">SUM(F28,I28)</f>
        <v>1080.33474924</v>
      </c>
      <c r="K28" s="1189" t="n">
        <f aca="false">VLOOKUP($A28,Curves_Table,Escalation!$P$291)</f>
        <v>1.13219066683837</v>
      </c>
      <c r="L28" s="1190" t="n">
        <f aca="false">J28*K28</f>
        <v>1223.14492015069</v>
      </c>
      <c r="M28" s="1191" t="str">
        <f aca="false">IF(MONTH($A28)=12,SUM(L17:L28)," ")</f>
        <v> </v>
      </c>
    </row>
    <row r="29" customFormat="false" ht="12.75" hidden="false" customHeight="false" outlineLevel="0" collapsed="false">
      <c r="A29" s="1182" t="n">
        <f aca="false">EDATE(A28,1)</f>
        <v>37469</v>
      </c>
      <c r="C29" s="1183" t="n">
        <f aca="false">A30-A29</f>
        <v>31</v>
      </c>
      <c r="D29" s="1184" t="n">
        <f aca="false">IF($A29&gt;Endyr,0,IF($A29&lt;Assm!$F$32,G29,Capacity*C29))</f>
        <v>3192690</v>
      </c>
      <c r="E29" s="1185" t="n">
        <f aca="false">IF($A29&gt;Endyr,0,Tariff_Cap)</f>
        <v>0.3351</v>
      </c>
      <c r="F29" s="1186" t="n">
        <f aca="false">D29*E29/1000</f>
        <v>1069.870419</v>
      </c>
      <c r="G29" s="1187" t="n">
        <f aca="false">[4]MMBTU!R52</f>
        <v>2092866.048</v>
      </c>
      <c r="H29" s="1185" t="n">
        <f aca="false">IF($A29&gt;Endyr,0,Tariff_Var)</f>
        <v>0.005</v>
      </c>
      <c r="I29" s="1186" t="n">
        <f aca="false">G29*H29/1000</f>
        <v>10.46433024</v>
      </c>
      <c r="J29" s="1188" t="n">
        <f aca="false">SUM(F29,I29)</f>
        <v>1080.33474924</v>
      </c>
      <c r="K29" s="1189" t="n">
        <f aca="false">VLOOKUP($A29,Curves_Table,Escalation!$P$291)</f>
        <v>1.13219066683837</v>
      </c>
      <c r="L29" s="1190" t="n">
        <f aca="false">J29*K29</f>
        <v>1223.14492015069</v>
      </c>
      <c r="M29" s="1191" t="str">
        <f aca="false">IF(MONTH($A29)=12,SUM(L18:L29)," ")</f>
        <v> </v>
      </c>
    </row>
    <row r="30" customFormat="false" ht="12.75" hidden="false" customHeight="false" outlineLevel="0" collapsed="false">
      <c r="A30" s="1182" t="n">
        <f aca="false">EDATE(A29,1)</f>
        <v>37500</v>
      </c>
      <c r="C30" s="1183" t="n">
        <f aca="false">A31-A30</f>
        <v>30</v>
      </c>
      <c r="D30" s="1184" t="n">
        <f aca="false">IF($A30&gt;Endyr,0,IF($A30&lt;Assm!$F$32,G30,Capacity*C30))</f>
        <v>3089700</v>
      </c>
      <c r="E30" s="1185" t="n">
        <f aca="false">IF($A30&gt;Endyr,0,Tariff_Cap)</f>
        <v>0.3351</v>
      </c>
      <c r="F30" s="1186" t="n">
        <f aca="false">D30*E30/1000</f>
        <v>1035.35847</v>
      </c>
      <c r="G30" s="1187" t="n">
        <f aca="false">[4]MMBTU!R53</f>
        <v>2025354.24</v>
      </c>
      <c r="H30" s="1185" t="n">
        <f aca="false">IF($A30&gt;Endyr,0,Tariff_Var)</f>
        <v>0.005</v>
      </c>
      <c r="I30" s="1186" t="n">
        <f aca="false">G30*H30/1000</f>
        <v>10.1267712</v>
      </c>
      <c r="J30" s="1188" t="n">
        <f aca="false">SUM(F30,I30)</f>
        <v>1045.4852412</v>
      </c>
      <c r="K30" s="1189" t="n">
        <f aca="false">VLOOKUP($A30,Curves_Table,Escalation!$P$291)</f>
        <v>1.13219066683837</v>
      </c>
      <c r="L30" s="1190" t="n">
        <f aca="false">J30*K30</f>
        <v>1183.6886324039</v>
      </c>
      <c r="M30" s="1191" t="str">
        <f aca="false">IF(MONTH($A30)=12,SUM(L19:L30)," ")</f>
        <v> </v>
      </c>
    </row>
    <row r="31" customFormat="false" ht="12.75" hidden="false" customHeight="false" outlineLevel="0" collapsed="false">
      <c r="A31" s="1182" t="n">
        <f aca="false">EDATE(A30,1)</f>
        <v>37530</v>
      </c>
      <c r="C31" s="1183" t="n">
        <f aca="false">A32-A31</f>
        <v>31</v>
      </c>
      <c r="D31" s="1184" t="n">
        <f aca="false">IF($A31&gt;Endyr,0,IF($A31&lt;Assm!$F$32,G31,Capacity*C31))</f>
        <v>3192690</v>
      </c>
      <c r="E31" s="1185" t="n">
        <f aca="false">IF($A31&gt;Endyr,0,Tariff_Cap)</f>
        <v>0.3351</v>
      </c>
      <c r="F31" s="1186" t="n">
        <f aca="false">D31*E31/1000</f>
        <v>1069.870419</v>
      </c>
      <c r="G31" s="1187" t="n">
        <f aca="false">[4]MMBTU!R54</f>
        <v>2092866.048</v>
      </c>
      <c r="H31" s="1185" t="n">
        <f aca="false">IF($A31&gt;Endyr,0,Tariff_Var)</f>
        <v>0.005</v>
      </c>
      <c r="I31" s="1186" t="n">
        <f aca="false">G31*H31/1000</f>
        <v>10.46433024</v>
      </c>
      <c r="J31" s="1188" t="n">
        <f aca="false">SUM(F31,I31)</f>
        <v>1080.33474924</v>
      </c>
      <c r="K31" s="1189" t="n">
        <f aca="false">VLOOKUP($A31,Curves_Table,Escalation!$P$291)</f>
        <v>1.13219066683837</v>
      </c>
      <c r="L31" s="1190" t="n">
        <f aca="false">J31*K31</f>
        <v>1223.14492015069</v>
      </c>
      <c r="M31" s="1191" t="str">
        <f aca="false">IF(MONTH($A31)=12,SUM(L20:L31)," ")</f>
        <v> </v>
      </c>
    </row>
    <row r="32" customFormat="false" ht="12.75" hidden="false" customHeight="false" outlineLevel="0" collapsed="false">
      <c r="A32" s="1182" t="n">
        <f aca="false">EDATE(A31,1)</f>
        <v>37561</v>
      </c>
      <c r="C32" s="1183" t="n">
        <f aca="false">A33-A32</f>
        <v>30</v>
      </c>
      <c r="D32" s="1184" t="n">
        <f aca="false">IF($A32&gt;Endyr,0,IF($A32&lt;Assm!$F$32,G32,Capacity*C32))</f>
        <v>3089700</v>
      </c>
      <c r="E32" s="1185" t="n">
        <f aca="false">IF($A32&gt;Endyr,0,Tariff_Cap)</f>
        <v>0.3351</v>
      </c>
      <c r="F32" s="1186" t="n">
        <f aca="false">D32*E32/1000</f>
        <v>1035.35847</v>
      </c>
      <c r="G32" s="1187" t="n">
        <f aca="false">[4]MMBTU!R55</f>
        <v>2025354.24</v>
      </c>
      <c r="H32" s="1185" t="n">
        <f aca="false">IF($A32&gt;Endyr,0,Tariff_Var)</f>
        <v>0.005</v>
      </c>
      <c r="I32" s="1186" t="n">
        <f aca="false">G32*H32/1000</f>
        <v>10.1267712</v>
      </c>
      <c r="J32" s="1188" t="n">
        <f aca="false">SUM(F32,I32)</f>
        <v>1045.4852412</v>
      </c>
      <c r="K32" s="1189" t="n">
        <f aca="false">VLOOKUP($A32,Curves_Table,Escalation!$P$291)</f>
        <v>1.13219066683837</v>
      </c>
      <c r="L32" s="1190" t="n">
        <f aca="false">J32*K32</f>
        <v>1183.6886324039</v>
      </c>
      <c r="M32" s="1191" t="str">
        <f aca="false">IF(MONTH($A32)=12,SUM(L21:L32)," ")</f>
        <v> </v>
      </c>
    </row>
    <row r="33" customFormat="false" ht="12.75" hidden="false" customHeight="false" outlineLevel="0" collapsed="false">
      <c r="A33" s="1182" t="n">
        <f aca="false">EDATE(A32,1)</f>
        <v>37591</v>
      </c>
      <c r="C33" s="1183" t="n">
        <f aca="false">A34-A33</f>
        <v>31</v>
      </c>
      <c r="D33" s="1184" t="n">
        <f aca="false">IF($A33&gt;Endyr,0,IF($A33&lt;Assm!$F$32,G33,Capacity*C33))</f>
        <v>3192690</v>
      </c>
      <c r="E33" s="1185" t="n">
        <f aca="false">IF($A33&gt;Endyr,0,Tariff_Cap)</f>
        <v>0.3351</v>
      </c>
      <c r="F33" s="1186" t="n">
        <f aca="false">D33*E33/1000</f>
        <v>1069.870419</v>
      </c>
      <c r="G33" s="1187" t="n">
        <f aca="false">[4]MMBTU!R56</f>
        <v>2092866.048</v>
      </c>
      <c r="H33" s="1185" t="n">
        <f aca="false">IF($A33&gt;Endyr,0,Tariff_Var)</f>
        <v>0.005</v>
      </c>
      <c r="I33" s="1186" t="n">
        <f aca="false">G33*H33/1000</f>
        <v>10.46433024</v>
      </c>
      <c r="J33" s="1188" t="n">
        <f aca="false">SUM(F33,I33)</f>
        <v>1080.33474924</v>
      </c>
      <c r="K33" s="1189" t="n">
        <f aca="false">VLOOKUP($A33,Curves_Table,Escalation!$P$291)</f>
        <v>1.13219066683837</v>
      </c>
      <c r="L33" s="1190" t="n">
        <f aca="false">J33*K33</f>
        <v>1223.14492015069</v>
      </c>
      <c r="M33" s="1191" t="n">
        <f aca="false">IF(MONTH($A33)=12,SUM(L22:L33)," ")</f>
        <v>14255.1350679866</v>
      </c>
      <c r="N33" s="19" t="n">
        <f aca="false">SUM(G22:G33)</f>
        <v>24641809.92</v>
      </c>
    </row>
    <row r="34" customFormat="false" ht="12.75" hidden="false" customHeight="false" outlineLevel="0" collapsed="false">
      <c r="A34" s="1182" t="n">
        <f aca="false">EDATE(A33,1)</f>
        <v>37622</v>
      </c>
      <c r="C34" s="1183" t="n">
        <f aca="false">A35-A34</f>
        <v>31</v>
      </c>
      <c r="D34" s="1184" t="n">
        <f aca="false">IF($A34&gt;Endyr,0,IF($A34&lt;Assm!$F$32,G34,Capacity*C34))</f>
        <v>3192690</v>
      </c>
      <c r="E34" s="1185" t="n">
        <f aca="false">IF($A34&gt;Endyr,0,Tariff_Cap)</f>
        <v>0.3351</v>
      </c>
      <c r="F34" s="1186" t="n">
        <f aca="false">D34*E34/1000</f>
        <v>1069.870419</v>
      </c>
      <c r="G34" s="1187" t="n">
        <f aca="false">[4]MMBTU!R57</f>
        <v>2092866.048</v>
      </c>
      <c r="H34" s="1185" t="n">
        <f aca="false">IF($A34&gt;Endyr,0,Tariff_Var)</f>
        <v>0.005</v>
      </c>
      <c r="I34" s="1186" t="n">
        <f aca="false">G34*H34/1000</f>
        <v>10.46433024</v>
      </c>
      <c r="J34" s="1188" t="n">
        <f aca="false">SUM(F34,I34)</f>
        <v>1080.33474924</v>
      </c>
      <c r="K34" s="1189" t="n">
        <f aca="false">VLOOKUP($A34,Curves_Table,Escalation!$P$291)</f>
        <v>1.13219066683837</v>
      </c>
      <c r="L34" s="1190" t="n">
        <f aca="false">J34*K34</f>
        <v>1223.14492015069</v>
      </c>
      <c r="M34" s="1191" t="str">
        <f aca="false">IF(MONTH($A34)=12,SUM(L23:L34)," ")</f>
        <v> </v>
      </c>
    </row>
    <row r="35" customFormat="false" ht="12.75" hidden="false" customHeight="false" outlineLevel="0" collapsed="false">
      <c r="A35" s="1182" t="n">
        <f aca="false">EDATE(A34,1)</f>
        <v>37653</v>
      </c>
      <c r="C35" s="1183" t="n">
        <f aca="false">A36-A35</f>
        <v>28</v>
      </c>
      <c r="D35" s="1184" t="n">
        <f aca="false">IF($A35&gt;Endyr,0,IF($A35&lt;Assm!$F$32,G35,Capacity*C35))</f>
        <v>2883720</v>
      </c>
      <c r="E35" s="1185" t="n">
        <f aca="false">IF($A35&gt;Endyr,0,Tariff_Cap)</f>
        <v>0.3351</v>
      </c>
      <c r="F35" s="1186" t="n">
        <f aca="false">D35*E35/1000</f>
        <v>966.334572</v>
      </c>
      <c r="G35" s="1187" t="n">
        <f aca="false">[4]MMBTU!R58</f>
        <v>1890330.624</v>
      </c>
      <c r="H35" s="1185" t="n">
        <f aca="false">IF($A35&gt;Endyr,0,Tariff_Var)</f>
        <v>0.005</v>
      </c>
      <c r="I35" s="1186" t="n">
        <f aca="false">G35*H35/1000</f>
        <v>9.45165312</v>
      </c>
      <c r="J35" s="1188" t="n">
        <f aca="false">SUM(F35,I35)</f>
        <v>975.78622512</v>
      </c>
      <c r="K35" s="1189" t="n">
        <f aca="false">VLOOKUP($A35,Curves_Table,Escalation!$P$291)</f>
        <v>1.13219066683837</v>
      </c>
      <c r="L35" s="1190" t="n">
        <f aca="false">J35*K35</f>
        <v>1104.7760569103</v>
      </c>
      <c r="M35" s="1191" t="str">
        <f aca="false">IF(MONTH($A35)=12,SUM(L24:L35)," ")</f>
        <v> </v>
      </c>
    </row>
    <row r="36" customFormat="false" ht="12.75" hidden="false" customHeight="false" outlineLevel="0" collapsed="false">
      <c r="A36" s="1182" t="n">
        <f aca="false">EDATE(A35,1)</f>
        <v>37681</v>
      </c>
      <c r="C36" s="1183" t="n">
        <f aca="false">A37-A36</f>
        <v>31</v>
      </c>
      <c r="D36" s="1184" t="n">
        <f aca="false">IF($A36&gt;Endyr,0,IF($A36&lt;Assm!$F$32,G36,Capacity*C36))</f>
        <v>3192690</v>
      </c>
      <c r="E36" s="1185" t="n">
        <f aca="false">IF($A36&gt;Endyr,0,Tariff_Cap)</f>
        <v>0.3351</v>
      </c>
      <c r="F36" s="1186" t="n">
        <f aca="false">D36*E36/1000</f>
        <v>1069.870419</v>
      </c>
      <c r="G36" s="1187" t="n">
        <f aca="false">[4]MMBTU!R59</f>
        <v>2092866.048</v>
      </c>
      <c r="H36" s="1185" t="n">
        <f aca="false">IF($A36&gt;Endyr,0,Tariff_Var)</f>
        <v>0.005</v>
      </c>
      <c r="I36" s="1186" t="n">
        <f aca="false">G36*H36/1000</f>
        <v>10.46433024</v>
      </c>
      <c r="J36" s="1188" t="n">
        <f aca="false">SUM(F36,I36)</f>
        <v>1080.33474924</v>
      </c>
      <c r="K36" s="1189" t="n">
        <f aca="false">VLOOKUP($A36,Curves_Table,Escalation!$P$291)</f>
        <v>1.13219066683837</v>
      </c>
      <c r="L36" s="1190" t="n">
        <f aca="false">J36*K36</f>
        <v>1223.14492015069</v>
      </c>
      <c r="M36" s="1191" t="str">
        <f aca="false">IF(MONTH($A36)=12,SUM(L25:L36)," ")</f>
        <v> </v>
      </c>
    </row>
    <row r="37" customFormat="false" ht="12.75" hidden="false" customHeight="false" outlineLevel="0" collapsed="false">
      <c r="A37" s="1182" t="n">
        <f aca="false">EDATE(A36,1)</f>
        <v>37712</v>
      </c>
      <c r="C37" s="1183" t="n">
        <f aca="false">A38-A37</f>
        <v>30</v>
      </c>
      <c r="D37" s="1184" t="n">
        <f aca="false">IF($A37&gt;Endyr,0,IF($A37&lt;Assm!$F$32,G37,Capacity*C37))</f>
        <v>3089700</v>
      </c>
      <c r="E37" s="1185" t="n">
        <f aca="false">IF($A37&gt;Endyr,0,Tariff_Cap)</f>
        <v>0.3351</v>
      </c>
      <c r="F37" s="1186" t="n">
        <f aca="false">D37*E37/1000</f>
        <v>1035.35847</v>
      </c>
      <c r="G37" s="1187" t="n">
        <f aca="false">[4]MMBTU!R60</f>
        <v>2025354.24</v>
      </c>
      <c r="H37" s="1185" t="n">
        <f aca="false">IF($A37&gt;Endyr,0,Tariff_Var)</f>
        <v>0.005</v>
      </c>
      <c r="I37" s="1186" t="n">
        <f aca="false">G37*H37/1000</f>
        <v>10.1267712</v>
      </c>
      <c r="J37" s="1188" t="n">
        <f aca="false">SUM(F37,I37)</f>
        <v>1045.4852412</v>
      </c>
      <c r="K37" s="1189" t="n">
        <f aca="false">VLOOKUP($A37,Curves_Table,Escalation!$P$291)</f>
        <v>1.13219066683837</v>
      </c>
      <c r="L37" s="1190" t="n">
        <f aca="false">J37*K37</f>
        <v>1183.6886324039</v>
      </c>
      <c r="M37" s="1191" t="str">
        <f aca="false">IF(MONTH($A37)=12,SUM(L26:L37)," ")</f>
        <v> </v>
      </c>
    </row>
    <row r="38" customFormat="false" ht="12.75" hidden="false" customHeight="false" outlineLevel="0" collapsed="false">
      <c r="A38" s="1182" t="n">
        <f aca="false">EDATE(A37,1)</f>
        <v>37742</v>
      </c>
      <c r="C38" s="1183" t="n">
        <f aca="false">A39-A38</f>
        <v>31</v>
      </c>
      <c r="D38" s="1184" t="n">
        <f aca="false">IF($A38&gt;Endyr,0,IF($A38&lt;Assm!$F$32,G38,Capacity*C38))</f>
        <v>3192690</v>
      </c>
      <c r="E38" s="1185" t="n">
        <f aca="false">IF($A38&gt;Endyr,0,Tariff_Cap)</f>
        <v>0.3351</v>
      </c>
      <c r="F38" s="1186" t="n">
        <f aca="false">D38*E38/1000</f>
        <v>1069.870419</v>
      </c>
      <c r="G38" s="1187" t="n">
        <f aca="false">[4]MMBTU!R61</f>
        <v>2092866.048</v>
      </c>
      <c r="H38" s="1185" t="n">
        <f aca="false">IF($A38&gt;Endyr,0,Tariff_Var)</f>
        <v>0.005</v>
      </c>
      <c r="I38" s="1186" t="n">
        <f aca="false">G38*H38/1000</f>
        <v>10.46433024</v>
      </c>
      <c r="J38" s="1188" t="n">
        <f aca="false">SUM(F38,I38)</f>
        <v>1080.33474924</v>
      </c>
      <c r="K38" s="1189" t="n">
        <f aca="false">VLOOKUP($A38,Curves_Table,Escalation!$P$291)</f>
        <v>1.16628704592773</v>
      </c>
      <c r="L38" s="1190" t="n">
        <f aca="false">J38*K38</f>
        <v>1259.9804233042</v>
      </c>
      <c r="M38" s="1191" t="str">
        <f aca="false">IF(MONTH($A38)=12,SUM(L27:L38)," ")</f>
        <v> </v>
      </c>
    </row>
    <row r="39" customFormat="false" ht="12.75" hidden="false" customHeight="false" outlineLevel="0" collapsed="false">
      <c r="A39" s="1182" t="n">
        <f aca="false">EDATE(A38,1)</f>
        <v>37773</v>
      </c>
      <c r="C39" s="1183" t="n">
        <f aca="false">A40-A39</f>
        <v>30</v>
      </c>
      <c r="D39" s="1184" t="n">
        <f aca="false">IF($A39&gt;Endyr,0,IF($A39&lt;Assm!$F$32,G39,Capacity*C39))</f>
        <v>3089700</v>
      </c>
      <c r="E39" s="1185" t="n">
        <f aca="false">IF($A39&gt;Endyr,0,Tariff_Cap)</f>
        <v>0.3351</v>
      </c>
      <c r="F39" s="1186" t="n">
        <f aca="false">D39*E39/1000</f>
        <v>1035.35847</v>
      </c>
      <c r="G39" s="1187" t="n">
        <f aca="false">[4]MMBTU!R62</f>
        <v>2025354.24</v>
      </c>
      <c r="H39" s="1185" t="n">
        <f aca="false">IF($A39&gt;Endyr,0,Tariff_Var)</f>
        <v>0.005</v>
      </c>
      <c r="I39" s="1186" t="n">
        <f aca="false">G39*H39/1000</f>
        <v>10.1267712</v>
      </c>
      <c r="J39" s="1188" t="n">
        <f aca="false">SUM(F39,I39)</f>
        <v>1045.4852412</v>
      </c>
      <c r="K39" s="1189" t="n">
        <f aca="false">VLOOKUP($A39,Curves_Table,Escalation!$P$291)</f>
        <v>1.16628704592773</v>
      </c>
      <c r="L39" s="1190" t="n">
        <f aca="false">J39*K39</f>
        <v>1219.33589352019</v>
      </c>
      <c r="M39" s="1191" t="str">
        <f aca="false">IF(MONTH($A39)=12,SUM(L28:L39)," ")</f>
        <v> </v>
      </c>
    </row>
    <row r="40" customFormat="false" ht="12.75" hidden="false" customHeight="false" outlineLevel="0" collapsed="false">
      <c r="A40" s="1182" t="n">
        <f aca="false">EDATE(A39,1)</f>
        <v>37803</v>
      </c>
      <c r="C40" s="1183" t="n">
        <f aca="false">A41-A40</f>
        <v>31</v>
      </c>
      <c r="D40" s="1184" t="n">
        <f aca="false">IF($A40&gt;Endyr,0,IF($A40&lt;Assm!$F$32,G40,Capacity*C40))</f>
        <v>3192690</v>
      </c>
      <c r="E40" s="1185" t="n">
        <f aca="false">IF($A40&gt;Endyr,0,Tariff_Cap)</f>
        <v>0.3351</v>
      </c>
      <c r="F40" s="1186" t="n">
        <f aca="false">D40*E40/1000</f>
        <v>1069.870419</v>
      </c>
      <c r="G40" s="1187" t="n">
        <f aca="false">[4]MMBTU!R63</f>
        <v>2092866.048</v>
      </c>
      <c r="H40" s="1185" t="n">
        <f aca="false">IF($A40&gt;Endyr,0,Tariff_Var)</f>
        <v>0.005</v>
      </c>
      <c r="I40" s="1186" t="n">
        <f aca="false">G40*H40/1000</f>
        <v>10.46433024</v>
      </c>
      <c r="J40" s="1188" t="n">
        <f aca="false">SUM(F40,I40)</f>
        <v>1080.33474924</v>
      </c>
      <c r="K40" s="1189" t="n">
        <f aca="false">VLOOKUP($A40,Curves_Table,Escalation!$P$291)</f>
        <v>1.16628704592773</v>
      </c>
      <c r="L40" s="1190" t="n">
        <f aca="false">J40*K40</f>
        <v>1259.9804233042</v>
      </c>
      <c r="M40" s="1191" t="str">
        <f aca="false">IF(MONTH($A40)=12,SUM(L29:L40)," ")</f>
        <v> </v>
      </c>
    </row>
    <row r="41" customFormat="false" ht="12.75" hidden="false" customHeight="false" outlineLevel="0" collapsed="false">
      <c r="A41" s="1182" t="n">
        <f aca="false">EDATE(A40,1)</f>
        <v>37834</v>
      </c>
      <c r="C41" s="1183" t="n">
        <f aca="false">A42-A41</f>
        <v>31</v>
      </c>
      <c r="D41" s="1184" t="n">
        <f aca="false">IF($A41&gt;Endyr,0,IF($A41&lt;Assm!$F$32,G41,Capacity*C41))</f>
        <v>3192690</v>
      </c>
      <c r="E41" s="1185" t="n">
        <f aca="false">IF($A41&gt;Endyr,0,Tariff_Cap)</f>
        <v>0.3351</v>
      </c>
      <c r="F41" s="1186" t="n">
        <f aca="false">D41*E41/1000</f>
        <v>1069.870419</v>
      </c>
      <c r="G41" s="1187" t="n">
        <f aca="false">[4]MMBTU!R64</f>
        <v>2092866.048</v>
      </c>
      <c r="H41" s="1185" t="n">
        <f aca="false">IF($A41&gt;Endyr,0,Tariff_Var)</f>
        <v>0.005</v>
      </c>
      <c r="I41" s="1186" t="n">
        <f aca="false">G41*H41/1000</f>
        <v>10.46433024</v>
      </c>
      <c r="J41" s="1188" t="n">
        <f aca="false">SUM(F41,I41)</f>
        <v>1080.33474924</v>
      </c>
      <c r="K41" s="1189" t="n">
        <f aca="false">VLOOKUP($A41,Curves_Table,Escalation!$P$291)</f>
        <v>1.16628704592773</v>
      </c>
      <c r="L41" s="1190" t="n">
        <f aca="false">J41*K41</f>
        <v>1259.9804233042</v>
      </c>
      <c r="M41" s="1191" t="str">
        <f aca="false">IF(MONTH($A41)=12,SUM(L30:L41)," ")</f>
        <v> </v>
      </c>
    </row>
    <row r="42" customFormat="false" ht="12.75" hidden="false" customHeight="false" outlineLevel="0" collapsed="false">
      <c r="A42" s="1182" t="n">
        <f aca="false">EDATE(A41,1)</f>
        <v>37865</v>
      </c>
      <c r="C42" s="1183" t="n">
        <f aca="false">A43-A42</f>
        <v>30</v>
      </c>
      <c r="D42" s="1184" t="n">
        <f aca="false">IF($A42&gt;Endyr,0,IF($A42&lt;Assm!$F$32,G42,Capacity*C42))</f>
        <v>3089700</v>
      </c>
      <c r="E42" s="1185" t="n">
        <f aca="false">IF($A42&gt;Endyr,0,Tariff_Cap)</f>
        <v>0.3351</v>
      </c>
      <c r="F42" s="1186" t="n">
        <f aca="false">D42*E42/1000</f>
        <v>1035.35847</v>
      </c>
      <c r="G42" s="1187" t="n">
        <f aca="false">[4]MMBTU!R65</f>
        <v>2025354.24</v>
      </c>
      <c r="H42" s="1185" t="n">
        <f aca="false">IF($A42&gt;Endyr,0,Tariff_Var)</f>
        <v>0.005</v>
      </c>
      <c r="I42" s="1186" t="n">
        <f aca="false">G42*H42/1000</f>
        <v>10.1267712</v>
      </c>
      <c r="J42" s="1188" t="n">
        <f aca="false">SUM(F42,I42)</f>
        <v>1045.4852412</v>
      </c>
      <c r="K42" s="1189" t="n">
        <f aca="false">VLOOKUP($A42,Curves_Table,Escalation!$P$291)</f>
        <v>1.16628704592773</v>
      </c>
      <c r="L42" s="1190" t="n">
        <f aca="false">J42*K42</f>
        <v>1219.33589352019</v>
      </c>
      <c r="M42" s="1191" t="str">
        <f aca="false">IF(MONTH($A42)=12,SUM(L31:L42)," ")</f>
        <v> </v>
      </c>
    </row>
    <row r="43" customFormat="false" ht="12.75" hidden="false" customHeight="false" outlineLevel="0" collapsed="false">
      <c r="A43" s="1182" t="n">
        <f aca="false">EDATE(A42,1)</f>
        <v>37895</v>
      </c>
      <c r="C43" s="1183" t="n">
        <f aca="false">A44-A43</f>
        <v>31</v>
      </c>
      <c r="D43" s="1184" t="n">
        <f aca="false">IF($A43&gt;Endyr,0,IF($A43&lt;Assm!$F$32,G43,Capacity*C43))</f>
        <v>3192690</v>
      </c>
      <c r="E43" s="1185" t="n">
        <f aca="false">IF($A43&gt;Endyr,0,Tariff_Cap)</f>
        <v>0.3351</v>
      </c>
      <c r="F43" s="1186" t="n">
        <f aca="false">D43*E43/1000</f>
        <v>1069.870419</v>
      </c>
      <c r="G43" s="1187" t="n">
        <f aca="false">[4]MMBTU!R66</f>
        <v>2092866.048</v>
      </c>
      <c r="H43" s="1185" t="n">
        <f aca="false">IF($A43&gt;Endyr,0,Tariff_Var)</f>
        <v>0.005</v>
      </c>
      <c r="I43" s="1186" t="n">
        <f aca="false">G43*H43/1000</f>
        <v>10.46433024</v>
      </c>
      <c r="J43" s="1188" t="n">
        <f aca="false">SUM(F43,I43)</f>
        <v>1080.33474924</v>
      </c>
      <c r="K43" s="1189" t="n">
        <f aca="false">VLOOKUP($A43,Curves_Table,Escalation!$P$291)</f>
        <v>1.16628704592773</v>
      </c>
      <c r="L43" s="1190" t="n">
        <f aca="false">J43*K43</f>
        <v>1259.9804233042</v>
      </c>
      <c r="M43" s="1191" t="str">
        <f aca="false">IF(MONTH($A43)=12,SUM(L32:L43)," ")</f>
        <v> </v>
      </c>
    </row>
    <row r="44" customFormat="false" ht="12.75" hidden="false" customHeight="false" outlineLevel="0" collapsed="false">
      <c r="A44" s="1182" t="n">
        <f aca="false">EDATE(A43,1)</f>
        <v>37926</v>
      </c>
      <c r="C44" s="1183" t="n">
        <f aca="false">A45-A44</f>
        <v>30</v>
      </c>
      <c r="D44" s="1184" t="n">
        <f aca="false">IF($A44&gt;Endyr,0,IF($A44&lt;Assm!$F$32,G44,Capacity*C44))</f>
        <v>3089700</v>
      </c>
      <c r="E44" s="1185" t="n">
        <f aca="false">IF($A44&gt;Endyr,0,Tariff_Cap)</f>
        <v>0.3351</v>
      </c>
      <c r="F44" s="1186" t="n">
        <f aca="false">D44*E44/1000</f>
        <v>1035.35847</v>
      </c>
      <c r="G44" s="1187" t="n">
        <f aca="false">[4]MMBTU!R67</f>
        <v>2025354.24</v>
      </c>
      <c r="H44" s="1185" t="n">
        <f aca="false">IF($A44&gt;Endyr,0,Tariff_Var)</f>
        <v>0.005</v>
      </c>
      <c r="I44" s="1186" t="n">
        <f aca="false">G44*H44/1000</f>
        <v>10.1267712</v>
      </c>
      <c r="J44" s="1188" t="n">
        <f aca="false">SUM(F44,I44)</f>
        <v>1045.4852412</v>
      </c>
      <c r="K44" s="1189" t="n">
        <f aca="false">VLOOKUP($A44,Curves_Table,Escalation!$P$291)</f>
        <v>1.16628704592773</v>
      </c>
      <c r="L44" s="1190" t="n">
        <f aca="false">J44*K44</f>
        <v>1219.33589352019</v>
      </c>
      <c r="M44" s="1191" t="str">
        <f aca="false">IF(MONTH($A44)=12,SUM(L33:L44)," ")</f>
        <v> </v>
      </c>
    </row>
    <row r="45" customFormat="false" ht="12.75" hidden="false" customHeight="false" outlineLevel="0" collapsed="false">
      <c r="A45" s="1182" t="n">
        <f aca="false">EDATE(A44,1)</f>
        <v>37956</v>
      </c>
      <c r="C45" s="1183" t="n">
        <f aca="false">A46-A45</f>
        <v>31</v>
      </c>
      <c r="D45" s="1184" t="n">
        <f aca="false">IF($A45&gt;Endyr,0,IF($A45&lt;Assm!$F$32,G45,Capacity*C45))</f>
        <v>3192690</v>
      </c>
      <c r="E45" s="1185" t="n">
        <f aca="false">IF($A45&gt;Endyr,0,Tariff_Cap)</f>
        <v>0.3351</v>
      </c>
      <c r="F45" s="1186" t="n">
        <f aca="false">D45*E45/1000</f>
        <v>1069.870419</v>
      </c>
      <c r="G45" s="1187" t="n">
        <f aca="false">[4]MMBTU!R68</f>
        <v>2092866.048</v>
      </c>
      <c r="H45" s="1185" t="n">
        <f aca="false">IF($A45&gt;Endyr,0,Tariff_Var)</f>
        <v>0.005</v>
      </c>
      <c r="I45" s="1186" t="n">
        <f aca="false">G45*H45/1000</f>
        <v>10.46433024</v>
      </c>
      <c r="J45" s="1188" t="n">
        <f aca="false">SUM(F45,I45)</f>
        <v>1080.33474924</v>
      </c>
      <c r="K45" s="1189" t="n">
        <f aca="false">VLOOKUP($A45,Curves_Table,Escalation!$P$291)</f>
        <v>1.16628704592773</v>
      </c>
      <c r="L45" s="1190" t="n">
        <f aca="false">J45*K45</f>
        <v>1259.9804233042</v>
      </c>
      <c r="M45" s="1191" t="n">
        <f aca="false">IF(MONTH($A45)=12,SUM(L34:L45)," ")</f>
        <v>14692.6643266972</v>
      </c>
      <c r="N45" s="19" t="n">
        <f aca="false">SUM(G36:G45)</f>
        <v>20658613.248</v>
      </c>
    </row>
    <row r="46" customFormat="false" ht="12.75" hidden="false" customHeight="false" outlineLevel="0" collapsed="false">
      <c r="A46" s="1182" t="n">
        <f aca="false">EDATE(A45,1)</f>
        <v>37987</v>
      </c>
      <c r="C46" s="1183" t="n">
        <f aca="false">A47-A46</f>
        <v>31</v>
      </c>
      <c r="D46" s="1184" t="n">
        <f aca="false">IF($A46&gt;Endyr,0,IF($A46&lt;Assm!$F$32,G46,Capacity*C46))</f>
        <v>3192690</v>
      </c>
      <c r="E46" s="1185" t="n">
        <f aca="false">IF($A46&gt;Endyr,0,Tariff_Cap)</f>
        <v>0.3351</v>
      </c>
      <c r="F46" s="1186" t="n">
        <f aca="false">D46*E46/1000</f>
        <v>1069.870419</v>
      </c>
      <c r="G46" s="1187" t="n">
        <f aca="false">[4]MMBTU!R69</f>
        <v>2092866.048</v>
      </c>
      <c r="H46" s="1185" t="n">
        <f aca="false">IF($A46&gt;Endyr,0,Tariff_Var)</f>
        <v>0.005</v>
      </c>
      <c r="I46" s="1186" t="n">
        <f aca="false">G46*H46/1000</f>
        <v>10.46433024</v>
      </c>
      <c r="J46" s="1188" t="n">
        <f aca="false">SUM(F46,I46)</f>
        <v>1080.33474924</v>
      </c>
      <c r="K46" s="1189" t="n">
        <f aca="false">VLOOKUP($A46,Curves_Table,Escalation!$P$291)</f>
        <v>1.16628704592773</v>
      </c>
      <c r="L46" s="1190" t="n">
        <f aca="false">J46*K46</f>
        <v>1259.9804233042</v>
      </c>
      <c r="M46" s="1191" t="str">
        <f aca="false">IF(MONTH($A46)=12,SUM(L35:L46)," ")</f>
        <v> </v>
      </c>
    </row>
    <row r="47" customFormat="false" ht="12.75" hidden="false" customHeight="false" outlineLevel="0" collapsed="false">
      <c r="A47" s="1182" t="n">
        <f aca="false">EDATE(A46,1)</f>
        <v>38018</v>
      </c>
      <c r="C47" s="1183" t="n">
        <f aca="false">A48-A47</f>
        <v>29</v>
      </c>
      <c r="D47" s="1184" t="n">
        <f aca="false">IF($A47&gt;Endyr,0,IF($A47&lt;Assm!$F$32,G47,Capacity*C47))</f>
        <v>2986710</v>
      </c>
      <c r="E47" s="1185" t="n">
        <f aca="false">IF($A47&gt;Endyr,0,Tariff_Cap)</f>
        <v>0.3351</v>
      </c>
      <c r="F47" s="1186" t="n">
        <f aca="false">D47*E47/1000</f>
        <v>1000.846521</v>
      </c>
      <c r="G47" s="1187" t="n">
        <f aca="false">[4]MMBTU!R70</f>
        <v>1957842.432</v>
      </c>
      <c r="H47" s="1185" t="n">
        <f aca="false">IF($A47&gt;Endyr,0,Tariff_Var)</f>
        <v>0.005</v>
      </c>
      <c r="I47" s="1186" t="n">
        <f aca="false">G47*H47/1000</f>
        <v>9.78921216</v>
      </c>
      <c r="J47" s="1188" t="n">
        <f aca="false">SUM(F47,I47)</f>
        <v>1010.63573316</v>
      </c>
      <c r="K47" s="1189" t="n">
        <f aca="false">VLOOKUP($A47,Curves_Table,Escalation!$P$291)</f>
        <v>1.16628704592773</v>
      </c>
      <c r="L47" s="1190" t="n">
        <f aca="false">J47*K47</f>
        <v>1178.69136373619</v>
      </c>
      <c r="M47" s="1191" t="str">
        <f aca="false">IF(MONTH($A47)=12,SUM(L36:L47)," ")</f>
        <v> </v>
      </c>
    </row>
    <row r="48" customFormat="false" ht="12.75" hidden="false" customHeight="false" outlineLevel="0" collapsed="false">
      <c r="A48" s="1182" t="n">
        <f aca="false">EDATE(A47,1)</f>
        <v>38047</v>
      </c>
      <c r="C48" s="1183" t="n">
        <f aca="false">A49-A48</f>
        <v>31</v>
      </c>
      <c r="D48" s="1184" t="n">
        <f aca="false">IF($A48&gt;Endyr,0,IF($A48&lt;Assm!$F$32,G48,Capacity*C48))</f>
        <v>3192690</v>
      </c>
      <c r="E48" s="1185" t="n">
        <f aca="false">IF($A48&gt;Endyr,0,Tariff_Cap)</f>
        <v>0.3351</v>
      </c>
      <c r="F48" s="1186" t="n">
        <f aca="false">D48*E48/1000</f>
        <v>1069.870419</v>
      </c>
      <c r="G48" s="1187" t="n">
        <f aca="false">[4]MMBTU!R71</f>
        <v>2092866.048</v>
      </c>
      <c r="H48" s="1185" t="n">
        <f aca="false">IF($A48&gt;Endyr,0,Tariff_Var)</f>
        <v>0.005</v>
      </c>
      <c r="I48" s="1186" t="n">
        <f aca="false">G48*H48/1000</f>
        <v>10.46433024</v>
      </c>
      <c r="J48" s="1188" t="n">
        <f aca="false">SUM(F48,I48)</f>
        <v>1080.33474924</v>
      </c>
      <c r="K48" s="1189" t="n">
        <f aca="false">VLOOKUP($A48,Curves_Table,Escalation!$P$291)</f>
        <v>1.16628704592773</v>
      </c>
      <c r="L48" s="1190" t="n">
        <f aca="false">J48*K48</f>
        <v>1259.9804233042</v>
      </c>
      <c r="M48" s="1191" t="str">
        <f aca="false">IF(MONTH($A48)=12,SUM(L37:L48)," ")</f>
        <v> </v>
      </c>
    </row>
    <row r="49" customFormat="false" ht="12.75" hidden="false" customHeight="false" outlineLevel="0" collapsed="false">
      <c r="A49" s="1182" t="n">
        <f aca="false">EDATE(A48,1)</f>
        <v>38078</v>
      </c>
      <c r="C49" s="1183" t="n">
        <f aca="false">A50-A49</f>
        <v>30</v>
      </c>
      <c r="D49" s="1184" t="n">
        <f aca="false">IF($A49&gt;Endyr,0,IF($A49&lt;Assm!$F$32,G49,Capacity*C49))</f>
        <v>3089700</v>
      </c>
      <c r="E49" s="1185" t="n">
        <f aca="false">IF($A49&gt;Endyr,0,Tariff_Cap)</f>
        <v>0.3351</v>
      </c>
      <c r="F49" s="1186" t="n">
        <f aca="false">D49*E49/1000</f>
        <v>1035.35847</v>
      </c>
      <c r="G49" s="1187" t="n">
        <f aca="false">[4]MMBTU!R72</f>
        <v>2025354.24</v>
      </c>
      <c r="H49" s="1185" t="n">
        <f aca="false">IF($A49&gt;Endyr,0,Tariff_Var)</f>
        <v>0.005</v>
      </c>
      <c r="I49" s="1186" t="n">
        <f aca="false">G49*H49/1000</f>
        <v>10.1267712</v>
      </c>
      <c r="J49" s="1188" t="n">
        <f aca="false">SUM(F49,I49)</f>
        <v>1045.4852412</v>
      </c>
      <c r="K49" s="1189" t="n">
        <f aca="false">VLOOKUP($A49,Curves_Table,Escalation!$P$291)</f>
        <v>1.16628704592773</v>
      </c>
      <c r="L49" s="1190" t="n">
        <f aca="false">J49*K49</f>
        <v>1219.33589352019</v>
      </c>
      <c r="M49" s="1191" t="str">
        <f aca="false">IF(MONTH($A49)=12,SUM(L38:L49)," ")</f>
        <v> </v>
      </c>
    </row>
    <row r="50" customFormat="false" ht="12.75" hidden="false" customHeight="false" outlineLevel="0" collapsed="false">
      <c r="A50" s="1182" t="n">
        <f aca="false">EDATE(A49,1)</f>
        <v>38108</v>
      </c>
      <c r="C50" s="1183" t="n">
        <f aca="false">A51-A50</f>
        <v>31</v>
      </c>
      <c r="D50" s="1184" t="n">
        <f aca="false">IF($A50&gt;Endyr,0,IF($A50&lt;Assm!$F$32,G50,Capacity*C50))</f>
        <v>3192690</v>
      </c>
      <c r="E50" s="1185" t="n">
        <f aca="false">IF($A50&gt;Endyr,0,Tariff_Cap)</f>
        <v>0.3351</v>
      </c>
      <c r="F50" s="1186" t="n">
        <f aca="false">D50*E50/1000</f>
        <v>1069.870419</v>
      </c>
      <c r="G50" s="1187" t="n">
        <f aca="false">[4]MMBTU!R73</f>
        <v>2092866.048</v>
      </c>
      <c r="H50" s="1185" t="n">
        <f aca="false">IF($A50&gt;Endyr,0,Tariff_Var)</f>
        <v>0.005</v>
      </c>
      <c r="I50" s="1186" t="n">
        <f aca="false">G50*H50/1000</f>
        <v>10.46433024</v>
      </c>
      <c r="J50" s="1188" t="n">
        <f aca="false">SUM(F50,I50)</f>
        <v>1080.33474924</v>
      </c>
      <c r="K50" s="1189" t="n">
        <f aca="false">VLOOKUP($A50,Curves_Table,Escalation!$P$291)</f>
        <v>1.20034933429065</v>
      </c>
      <c r="L50" s="1190" t="n">
        <f aca="false">J50*K50</f>
        <v>1296.77909706129</v>
      </c>
      <c r="M50" s="1191" t="str">
        <f aca="false">IF(MONTH($A50)=12,SUM(L39:L50)," ")</f>
        <v> </v>
      </c>
    </row>
    <row r="51" customFormat="false" ht="12.75" hidden="false" customHeight="false" outlineLevel="0" collapsed="false">
      <c r="A51" s="1182" t="n">
        <f aca="false">EDATE(A50,1)</f>
        <v>38139</v>
      </c>
      <c r="C51" s="1183" t="n">
        <f aca="false">A52-A51</f>
        <v>30</v>
      </c>
      <c r="D51" s="1184" t="n">
        <f aca="false">IF($A51&gt;Endyr,0,IF($A51&lt;Assm!$F$32,G51,Capacity*C51))</f>
        <v>3089700</v>
      </c>
      <c r="E51" s="1185" t="n">
        <f aca="false">IF($A51&gt;Endyr,0,Tariff_Cap)</f>
        <v>0.3351</v>
      </c>
      <c r="F51" s="1186" t="n">
        <f aca="false">D51*E51/1000</f>
        <v>1035.35847</v>
      </c>
      <c r="G51" s="1187" t="n">
        <f aca="false">[4]MMBTU!R74</f>
        <v>2025354.24</v>
      </c>
      <c r="H51" s="1185" t="n">
        <f aca="false">IF($A51&gt;Endyr,0,Tariff_Var)</f>
        <v>0.005</v>
      </c>
      <c r="I51" s="1186" t="n">
        <f aca="false">G51*H51/1000</f>
        <v>10.1267712</v>
      </c>
      <c r="J51" s="1188" t="n">
        <f aca="false">SUM(F51,I51)</f>
        <v>1045.4852412</v>
      </c>
      <c r="K51" s="1189" t="n">
        <f aca="false">VLOOKUP($A51,Curves_Table,Escalation!$P$291)</f>
        <v>1.20034933429065</v>
      </c>
      <c r="L51" s="1190" t="n">
        <f aca="false">J51*K51</f>
        <v>1254.94751328512</v>
      </c>
      <c r="M51" s="1191" t="str">
        <f aca="false">IF(MONTH($A51)=12,SUM(L40:L51)," ")</f>
        <v> </v>
      </c>
    </row>
    <row r="52" customFormat="false" ht="12.75" hidden="false" customHeight="false" outlineLevel="0" collapsed="false">
      <c r="A52" s="1182" t="n">
        <f aca="false">EDATE(A51,1)</f>
        <v>38169</v>
      </c>
      <c r="C52" s="1183" t="n">
        <f aca="false">A53-A52</f>
        <v>31</v>
      </c>
      <c r="D52" s="1184" t="n">
        <f aca="false">IF($A52&gt;Endyr,0,IF($A52&lt;Assm!$F$32,G52,Capacity*C52))</f>
        <v>3192690</v>
      </c>
      <c r="E52" s="1185" t="n">
        <f aca="false">IF($A52&gt;Endyr,0,Tariff_Cap)</f>
        <v>0.3351</v>
      </c>
      <c r="F52" s="1186" t="n">
        <f aca="false">D52*E52/1000</f>
        <v>1069.870419</v>
      </c>
      <c r="G52" s="1187" t="n">
        <f aca="false">[4]MMBTU!R75</f>
        <v>2092866.048</v>
      </c>
      <c r="H52" s="1185" t="n">
        <f aca="false">IF($A52&gt;Endyr,0,Tariff_Var)</f>
        <v>0.005</v>
      </c>
      <c r="I52" s="1186" t="n">
        <f aca="false">G52*H52/1000</f>
        <v>10.46433024</v>
      </c>
      <c r="J52" s="1188" t="n">
        <f aca="false">SUM(F52,I52)</f>
        <v>1080.33474924</v>
      </c>
      <c r="K52" s="1189" t="n">
        <f aca="false">VLOOKUP($A52,Curves_Table,Escalation!$P$291)</f>
        <v>1.20034933429065</v>
      </c>
      <c r="L52" s="1190" t="n">
        <f aca="false">J52*K52</f>
        <v>1296.77909706129</v>
      </c>
      <c r="M52" s="1191" t="str">
        <f aca="false">IF(MONTH($A52)=12,SUM(L41:L52)," ")</f>
        <v> </v>
      </c>
    </row>
    <row r="53" customFormat="false" ht="12.75" hidden="false" customHeight="false" outlineLevel="0" collapsed="false">
      <c r="A53" s="1182" t="n">
        <f aca="false">EDATE(A52,1)</f>
        <v>38200</v>
      </c>
      <c r="C53" s="1183" t="n">
        <f aca="false">A54-A53</f>
        <v>31</v>
      </c>
      <c r="D53" s="1184" t="n">
        <f aca="false">IF($A53&gt;Endyr,0,IF($A53&lt;Assm!$F$32,G53,Capacity*C53))</f>
        <v>3192690</v>
      </c>
      <c r="E53" s="1185" t="n">
        <f aca="false">IF($A53&gt;Endyr,0,Tariff_Cap)</f>
        <v>0.3351</v>
      </c>
      <c r="F53" s="1186" t="n">
        <f aca="false">D53*E53/1000</f>
        <v>1069.870419</v>
      </c>
      <c r="G53" s="1187" t="n">
        <f aca="false">[4]MMBTU!R76</f>
        <v>2092866.048</v>
      </c>
      <c r="H53" s="1185" t="n">
        <f aca="false">IF($A53&gt;Endyr,0,Tariff_Var)</f>
        <v>0.005</v>
      </c>
      <c r="I53" s="1186" t="n">
        <f aca="false">G53*H53/1000</f>
        <v>10.46433024</v>
      </c>
      <c r="J53" s="1188" t="n">
        <f aca="false">SUM(F53,I53)</f>
        <v>1080.33474924</v>
      </c>
      <c r="K53" s="1189" t="n">
        <f aca="false">VLOOKUP($A53,Curves_Table,Escalation!$P$291)</f>
        <v>1.20034933429065</v>
      </c>
      <c r="L53" s="1190" t="n">
        <f aca="false">J53*K53</f>
        <v>1296.77909706129</v>
      </c>
      <c r="M53" s="1191" t="str">
        <f aca="false">IF(MONTH($A53)=12,SUM(L42:L53)," ")</f>
        <v> </v>
      </c>
    </row>
    <row r="54" customFormat="false" ht="12.75" hidden="false" customHeight="false" outlineLevel="0" collapsed="false">
      <c r="A54" s="1182" t="n">
        <f aca="false">EDATE(A53,1)</f>
        <v>38231</v>
      </c>
      <c r="C54" s="1183" t="n">
        <f aca="false">A55-A54</f>
        <v>30</v>
      </c>
      <c r="D54" s="1184" t="n">
        <f aca="false">IF($A54&gt;Endyr,0,IF($A54&lt;Assm!$F$32,G54,Capacity*C54))</f>
        <v>3089700</v>
      </c>
      <c r="E54" s="1185" t="n">
        <f aca="false">IF($A54&gt;Endyr,0,Tariff_Cap)</f>
        <v>0.3351</v>
      </c>
      <c r="F54" s="1186" t="n">
        <f aca="false">D54*E54/1000</f>
        <v>1035.35847</v>
      </c>
      <c r="G54" s="1187" t="n">
        <f aca="false">[4]MMBTU!R77</f>
        <v>2025354.24</v>
      </c>
      <c r="H54" s="1185" t="n">
        <f aca="false">IF($A54&gt;Endyr,0,Tariff_Var)</f>
        <v>0.005</v>
      </c>
      <c r="I54" s="1186" t="n">
        <f aca="false">G54*H54/1000</f>
        <v>10.1267712</v>
      </c>
      <c r="J54" s="1188" t="n">
        <f aca="false">SUM(F54,I54)</f>
        <v>1045.4852412</v>
      </c>
      <c r="K54" s="1189" t="n">
        <f aca="false">VLOOKUP($A54,Curves_Table,Escalation!$P$291)</f>
        <v>1.20034933429065</v>
      </c>
      <c r="L54" s="1190" t="n">
        <f aca="false">J54*K54</f>
        <v>1254.94751328512</v>
      </c>
      <c r="M54" s="1191" t="str">
        <f aca="false">IF(MONTH($A54)=12,SUM(L43:L54)," ")</f>
        <v> </v>
      </c>
    </row>
    <row r="55" customFormat="false" ht="12.75" hidden="false" customHeight="false" outlineLevel="0" collapsed="false">
      <c r="A55" s="1182" t="n">
        <f aca="false">EDATE(A54,1)</f>
        <v>38261</v>
      </c>
      <c r="C55" s="1183" t="n">
        <f aca="false">A56-A55</f>
        <v>31</v>
      </c>
      <c r="D55" s="1184" t="n">
        <f aca="false">IF($A55&gt;Endyr,0,IF($A55&lt;Assm!$F$32,G55,Capacity*C55))</f>
        <v>3192690</v>
      </c>
      <c r="E55" s="1185" t="n">
        <f aca="false">IF($A55&gt;Endyr,0,Tariff_Cap)</f>
        <v>0.3351</v>
      </c>
      <c r="F55" s="1186" t="n">
        <f aca="false">D55*E55/1000</f>
        <v>1069.870419</v>
      </c>
      <c r="G55" s="1187" t="n">
        <f aca="false">[4]MMBTU!R78</f>
        <v>2092866.048</v>
      </c>
      <c r="H55" s="1185" t="n">
        <f aca="false">IF($A55&gt;Endyr,0,Tariff_Var)</f>
        <v>0.005</v>
      </c>
      <c r="I55" s="1186" t="n">
        <f aca="false">G55*H55/1000</f>
        <v>10.46433024</v>
      </c>
      <c r="J55" s="1188" t="n">
        <f aca="false">SUM(F55,I55)</f>
        <v>1080.33474924</v>
      </c>
      <c r="K55" s="1189" t="n">
        <f aca="false">VLOOKUP($A55,Curves_Table,Escalation!$P$291)</f>
        <v>1.20034933429065</v>
      </c>
      <c r="L55" s="1190" t="n">
        <f aca="false">J55*K55</f>
        <v>1296.77909706129</v>
      </c>
      <c r="M55" s="1191" t="str">
        <f aca="false">IF(MONTH($A55)=12,SUM(L44:L55)," ")</f>
        <v> </v>
      </c>
    </row>
    <row r="56" customFormat="false" ht="12.75" hidden="false" customHeight="false" outlineLevel="0" collapsed="false">
      <c r="A56" s="1182" t="n">
        <f aca="false">EDATE(A55,1)</f>
        <v>38292</v>
      </c>
      <c r="C56" s="1183" t="n">
        <f aca="false">A57-A56</f>
        <v>30</v>
      </c>
      <c r="D56" s="1184" t="n">
        <f aca="false">IF($A56&gt;Endyr,0,IF($A56&lt;Assm!$F$32,G56,Capacity*C56))</f>
        <v>3089700</v>
      </c>
      <c r="E56" s="1185" t="n">
        <f aca="false">IF($A56&gt;Endyr,0,Tariff_Cap)</f>
        <v>0.3351</v>
      </c>
      <c r="F56" s="1186" t="n">
        <f aca="false">D56*E56/1000</f>
        <v>1035.35847</v>
      </c>
      <c r="G56" s="1187" t="n">
        <f aca="false">[4]MMBTU!R79</f>
        <v>2025354.24</v>
      </c>
      <c r="H56" s="1185" t="n">
        <f aca="false">IF($A56&gt;Endyr,0,Tariff_Var)</f>
        <v>0.005</v>
      </c>
      <c r="I56" s="1186" t="n">
        <f aca="false">G56*H56/1000</f>
        <v>10.1267712</v>
      </c>
      <c r="J56" s="1188" t="n">
        <f aca="false">SUM(F56,I56)</f>
        <v>1045.4852412</v>
      </c>
      <c r="K56" s="1189" t="n">
        <f aca="false">VLOOKUP($A56,Curves_Table,Escalation!$P$291)</f>
        <v>1.20034933429065</v>
      </c>
      <c r="L56" s="1190" t="n">
        <f aca="false">J56*K56</f>
        <v>1254.94751328512</v>
      </c>
      <c r="M56" s="1191" t="str">
        <f aca="false">IF(MONTH($A56)=12,SUM(L45:L56)," ")</f>
        <v> </v>
      </c>
    </row>
    <row r="57" customFormat="false" ht="12.75" hidden="false" customHeight="false" outlineLevel="0" collapsed="false">
      <c r="A57" s="1182" t="n">
        <f aca="false">EDATE(A56,1)</f>
        <v>38322</v>
      </c>
      <c r="C57" s="1183" t="n">
        <f aca="false">A58-A57</f>
        <v>31</v>
      </c>
      <c r="D57" s="1184" t="n">
        <f aca="false">IF($A57&gt;Endyr,0,IF($A57&lt;Assm!$F$32,G57,Capacity*C57))</f>
        <v>3192690</v>
      </c>
      <c r="E57" s="1185" t="n">
        <f aca="false">IF($A57&gt;Endyr,0,Tariff_Cap)</f>
        <v>0.3351</v>
      </c>
      <c r="F57" s="1186" t="n">
        <f aca="false">D57*E57/1000</f>
        <v>1069.870419</v>
      </c>
      <c r="G57" s="1187" t="n">
        <f aca="false">[4]MMBTU!R80</f>
        <v>2092866.048</v>
      </c>
      <c r="H57" s="1185" t="n">
        <f aca="false">IF($A57&gt;Endyr,0,Tariff_Var)</f>
        <v>0.005</v>
      </c>
      <c r="I57" s="1186" t="n">
        <f aca="false">G57*H57/1000</f>
        <v>10.46433024</v>
      </c>
      <c r="J57" s="1188" t="n">
        <f aca="false">SUM(F57,I57)</f>
        <v>1080.33474924</v>
      </c>
      <c r="K57" s="1189" t="n">
        <f aca="false">VLOOKUP($A57,Curves_Table,Escalation!$P$291)</f>
        <v>1.20034933429065</v>
      </c>
      <c r="L57" s="1190" t="n">
        <f aca="false">J57*K57</f>
        <v>1296.77909706129</v>
      </c>
      <c r="M57" s="1191" t="n">
        <f aca="false">IF(MONTH($A57)=12,SUM(L46:L57)," ")</f>
        <v>15166.7261290266</v>
      </c>
      <c r="N57" s="19" t="n">
        <f aca="false">SUM(G48:G57)</f>
        <v>20658613.248</v>
      </c>
    </row>
    <row r="58" customFormat="false" ht="12.75" hidden="false" customHeight="false" outlineLevel="0" collapsed="false">
      <c r="A58" s="1182" t="n">
        <f aca="false">EDATE(A57,1)</f>
        <v>38353</v>
      </c>
      <c r="C58" s="1183" t="n">
        <f aca="false">A59-A58</f>
        <v>31</v>
      </c>
      <c r="D58" s="1184" t="n">
        <f aca="false">IF($A58&gt;Endyr,0,IF($A58&lt;Assm!$F$32,G58,Capacity*C58))</f>
        <v>3192690</v>
      </c>
      <c r="E58" s="1185" t="n">
        <f aca="false">IF($A58&gt;Endyr,0,Tariff_Cap)</f>
        <v>0.3351</v>
      </c>
      <c r="F58" s="1186" t="n">
        <f aca="false">D58*E58/1000</f>
        <v>1069.870419</v>
      </c>
      <c r="G58" s="1187" t="n">
        <f aca="false">[4]MMBTU!R81</f>
        <v>2092866.048</v>
      </c>
      <c r="H58" s="1185" t="n">
        <f aca="false">IF($A58&gt;Endyr,0,Tariff_Var)</f>
        <v>0.005</v>
      </c>
      <c r="I58" s="1186" t="n">
        <f aca="false">G58*H58/1000</f>
        <v>10.46433024</v>
      </c>
      <c r="J58" s="1188" t="n">
        <f aca="false">SUM(F58,I58)</f>
        <v>1080.33474924</v>
      </c>
      <c r="K58" s="1189" t="n">
        <f aca="false">VLOOKUP($A58,Curves_Table,Escalation!$P$291)</f>
        <v>1.20034933429065</v>
      </c>
      <c r="L58" s="1190" t="n">
        <f aca="false">J58*K58</f>
        <v>1296.77909706129</v>
      </c>
      <c r="M58" s="1191" t="str">
        <f aca="false">IF(MONTH($A58)=12,SUM(L47:L58)," ")</f>
        <v> </v>
      </c>
    </row>
    <row r="59" customFormat="false" ht="12.75" hidden="false" customHeight="false" outlineLevel="0" collapsed="false">
      <c r="A59" s="1182" t="n">
        <f aca="false">EDATE(A58,1)</f>
        <v>38384</v>
      </c>
      <c r="C59" s="1183" t="n">
        <f aca="false">A60-A59</f>
        <v>28</v>
      </c>
      <c r="D59" s="1184" t="n">
        <f aca="false">IF($A59&gt;Endyr,0,IF($A59&lt;Assm!$F$32,G59,Capacity*C59))</f>
        <v>2883720</v>
      </c>
      <c r="E59" s="1185" t="n">
        <f aca="false">IF($A59&gt;Endyr,0,Tariff_Cap)</f>
        <v>0.3351</v>
      </c>
      <c r="F59" s="1186" t="n">
        <f aca="false">D59*E59/1000</f>
        <v>966.334572</v>
      </c>
      <c r="G59" s="1187" t="n">
        <f aca="false">[4]MMBTU!R82</f>
        <v>1890330.624</v>
      </c>
      <c r="H59" s="1185" t="n">
        <f aca="false">IF($A59&gt;Endyr,0,Tariff_Var)</f>
        <v>0.005</v>
      </c>
      <c r="I59" s="1186" t="n">
        <f aca="false">G59*H59/1000</f>
        <v>9.45165312</v>
      </c>
      <c r="J59" s="1188" t="n">
        <f aca="false">SUM(F59,I59)</f>
        <v>975.78622512</v>
      </c>
      <c r="K59" s="1189" t="n">
        <f aca="false">VLOOKUP($A59,Curves_Table,Escalation!$P$291)</f>
        <v>1.20034933429065</v>
      </c>
      <c r="L59" s="1190" t="n">
        <f aca="false">J59*K59</f>
        <v>1171.28434573278</v>
      </c>
      <c r="M59" s="1191" t="str">
        <f aca="false">IF(MONTH($A59)=12,SUM(L48:L59)," ")</f>
        <v> </v>
      </c>
    </row>
    <row r="60" customFormat="false" ht="12.75" hidden="false" customHeight="false" outlineLevel="0" collapsed="false">
      <c r="A60" s="1182" t="n">
        <f aca="false">EDATE(A59,1)</f>
        <v>38412</v>
      </c>
      <c r="C60" s="1183" t="n">
        <f aca="false">A61-A60</f>
        <v>31</v>
      </c>
      <c r="D60" s="1184" t="n">
        <f aca="false">IF($A60&gt;Endyr,0,IF($A60&lt;Assm!$F$32,G60,Capacity*C60))</f>
        <v>3192690</v>
      </c>
      <c r="E60" s="1185" t="n">
        <f aca="false">IF($A60&gt;Endyr,0,Tariff_Cap)</f>
        <v>0.3351</v>
      </c>
      <c r="F60" s="1186" t="n">
        <f aca="false">D60*E60/1000</f>
        <v>1069.870419</v>
      </c>
      <c r="G60" s="1187" t="n">
        <f aca="false">[4]MMBTU!R83</f>
        <v>2092866.048</v>
      </c>
      <c r="H60" s="1185" t="n">
        <f aca="false">IF($A60&gt;Endyr,0,Tariff_Var)</f>
        <v>0.005</v>
      </c>
      <c r="I60" s="1186" t="n">
        <f aca="false">G60*H60/1000</f>
        <v>10.46433024</v>
      </c>
      <c r="J60" s="1188" t="n">
        <f aca="false">SUM(F60,I60)</f>
        <v>1080.33474924</v>
      </c>
      <c r="K60" s="1189" t="n">
        <f aca="false">VLOOKUP($A60,Curves_Table,Escalation!$P$291)</f>
        <v>1.20034933429065</v>
      </c>
      <c r="L60" s="1190" t="n">
        <f aca="false">J60*K60</f>
        <v>1296.77909706129</v>
      </c>
      <c r="M60" s="1191" t="str">
        <f aca="false">IF(MONTH($A60)=12,SUM(L49:L60)," ")</f>
        <v> </v>
      </c>
    </row>
    <row r="61" customFormat="false" ht="12.75" hidden="false" customHeight="false" outlineLevel="0" collapsed="false">
      <c r="A61" s="1182" t="n">
        <f aca="false">EDATE(A60,1)</f>
        <v>38443</v>
      </c>
      <c r="C61" s="1183" t="n">
        <f aca="false">A62-A61</f>
        <v>30</v>
      </c>
      <c r="D61" s="1184" t="n">
        <f aca="false">IF($A61&gt;Endyr,0,IF($A61&lt;Assm!$F$32,G61,Capacity*C61))</f>
        <v>3089700</v>
      </c>
      <c r="E61" s="1185" t="n">
        <f aca="false">IF($A61&gt;Endyr,0,Tariff_Cap)</f>
        <v>0.3351</v>
      </c>
      <c r="F61" s="1186" t="n">
        <f aca="false">D61*E61/1000</f>
        <v>1035.35847</v>
      </c>
      <c r="G61" s="1187" t="n">
        <f aca="false">[4]MMBTU!R84</f>
        <v>2025354.24</v>
      </c>
      <c r="H61" s="1185" t="n">
        <f aca="false">IF($A61&gt;Endyr,0,Tariff_Var)</f>
        <v>0.005</v>
      </c>
      <c r="I61" s="1186" t="n">
        <f aca="false">G61*H61/1000</f>
        <v>10.1267712</v>
      </c>
      <c r="J61" s="1188" t="n">
        <f aca="false">SUM(F61,I61)</f>
        <v>1045.4852412</v>
      </c>
      <c r="K61" s="1189" t="n">
        <f aca="false">VLOOKUP($A61,Curves_Table,Escalation!$P$291)</f>
        <v>1.20034933429065</v>
      </c>
      <c r="L61" s="1190" t="n">
        <f aca="false">J61*K61</f>
        <v>1254.94751328512</v>
      </c>
      <c r="M61" s="1191" t="str">
        <f aca="false">IF(MONTH($A61)=12,SUM(L50:L61)," ")</f>
        <v> </v>
      </c>
    </row>
    <row r="62" customFormat="false" ht="12.75" hidden="false" customHeight="false" outlineLevel="0" collapsed="false">
      <c r="A62" s="1182" t="n">
        <f aca="false">EDATE(A61,1)</f>
        <v>38473</v>
      </c>
      <c r="C62" s="1183" t="n">
        <f aca="false">A63-A62</f>
        <v>31</v>
      </c>
      <c r="D62" s="1184" t="n">
        <f aca="false">IF($A62&gt;Endyr,0,IF($A62&lt;Assm!$F$32,G62,Capacity*C62))</f>
        <v>3192690</v>
      </c>
      <c r="E62" s="1185" t="n">
        <f aca="false">IF($A62&gt;Endyr,0,Tariff_Cap)</f>
        <v>0.3351</v>
      </c>
      <c r="F62" s="1186" t="n">
        <f aca="false">D62*E62/1000</f>
        <v>1069.870419</v>
      </c>
      <c r="G62" s="1187" t="n">
        <f aca="false">[4]MMBTU!R85</f>
        <v>2092866.048</v>
      </c>
      <c r="H62" s="1185" t="n">
        <f aca="false">IF($A62&gt;Endyr,0,Tariff_Var)</f>
        <v>0.005</v>
      </c>
      <c r="I62" s="1186" t="n">
        <f aca="false">G62*H62/1000</f>
        <v>10.46433024</v>
      </c>
      <c r="J62" s="1188" t="n">
        <f aca="false">SUM(F62,I62)</f>
        <v>1080.33474924</v>
      </c>
      <c r="K62" s="1189" t="n">
        <f aca="false">VLOOKUP($A62,Curves_Table,Escalation!$P$291)</f>
        <v>1.23462294375966</v>
      </c>
      <c r="L62" s="1190" t="n">
        <f aca="false">J62*K62</f>
        <v>1333.80606835255</v>
      </c>
      <c r="M62" s="1191" t="str">
        <f aca="false">IF(MONTH($A62)=12,SUM(L51:L62)," ")</f>
        <v> </v>
      </c>
    </row>
    <row r="63" customFormat="false" ht="12.75" hidden="false" customHeight="false" outlineLevel="0" collapsed="false">
      <c r="A63" s="1182" t="n">
        <f aca="false">EDATE(A62,1)</f>
        <v>38504</v>
      </c>
      <c r="C63" s="1183" t="n">
        <f aca="false">A64-A63</f>
        <v>30</v>
      </c>
      <c r="D63" s="1184" t="n">
        <f aca="false">IF($A63&gt;Endyr,0,IF($A63&lt;Assm!$F$32,G63,Capacity*C63))</f>
        <v>3089700</v>
      </c>
      <c r="E63" s="1185" t="n">
        <f aca="false">IF($A63&gt;Endyr,0,Tariff_Cap)</f>
        <v>0.3351</v>
      </c>
      <c r="F63" s="1186" t="n">
        <f aca="false">D63*E63/1000</f>
        <v>1035.35847</v>
      </c>
      <c r="G63" s="1187" t="n">
        <f aca="false">[4]MMBTU!R86</f>
        <v>2025354.24</v>
      </c>
      <c r="H63" s="1185" t="n">
        <f aca="false">IF($A63&gt;Endyr,0,Tariff_Var)</f>
        <v>0.005</v>
      </c>
      <c r="I63" s="1186" t="n">
        <f aca="false">G63*H63/1000</f>
        <v>10.1267712</v>
      </c>
      <c r="J63" s="1188" t="n">
        <f aca="false">SUM(F63,I63)</f>
        <v>1045.4852412</v>
      </c>
      <c r="K63" s="1189" t="n">
        <f aca="false">VLOOKUP($A63,Curves_Table,Escalation!$P$291)</f>
        <v>1.23462294375966</v>
      </c>
      <c r="L63" s="1190" t="n">
        <f aca="false">J63*K63</f>
        <v>1290.78006614763</v>
      </c>
      <c r="M63" s="1191" t="str">
        <f aca="false">IF(MONTH($A63)=12,SUM(L52:L63)," ")</f>
        <v> </v>
      </c>
    </row>
    <row r="64" customFormat="false" ht="12.75" hidden="false" customHeight="false" outlineLevel="0" collapsed="false">
      <c r="A64" s="1182" t="n">
        <f aca="false">EDATE(A63,1)</f>
        <v>38534</v>
      </c>
      <c r="C64" s="1183" t="n">
        <f aca="false">A65-A64</f>
        <v>31</v>
      </c>
      <c r="D64" s="1184" t="n">
        <f aca="false">IF($A64&gt;Endyr,0,IF($A64&lt;Assm!$F$32,G64,Capacity*C64))</f>
        <v>3192690</v>
      </c>
      <c r="E64" s="1185" t="n">
        <f aca="false">IF($A64&gt;Endyr,0,Tariff_Cap)</f>
        <v>0.3351</v>
      </c>
      <c r="F64" s="1186" t="n">
        <f aca="false">D64*E64/1000</f>
        <v>1069.870419</v>
      </c>
      <c r="G64" s="1187" t="n">
        <f aca="false">[4]MMBTU!R87</f>
        <v>2092866.048</v>
      </c>
      <c r="H64" s="1185" t="n">
        <f aca="false">IF($A64&gt;Endyr,0,Tariff_Var)</f>
        <v>0.005</v>
      </c>
      <c r="I64" s="1186" t="n">
        <f aca="false">G64*H64/1000</f>
        <v>10.46433024</v>
      </c>
      <c r="J64" s="1188" t="n">
        <f aca="false">SUM(F64,I64)</f>
        <v>1080.33474924</v>
      </c>
      <c r="K64" s="1189" t="n">
        <f aca="false">VLOOKUP($A64,Curves_Table,Escalation!$P$291)</f>
        <v>1.23462294375966</v>
      </c>
      <c r="L64" s="1190" t="n">
        <f aca="false">J64*K64</f>
        <v>1333.80606835255</v>
      </c>
      <c r="M64" s="1191" t="str">
        <f aca="false">IF(MONTH($A64)=12,SUM(L53:L64)," ")</f>
        <v> </v>
      </c>
    </row>
    <row r="65" customFormat="false" ht="12.75" hidden="false" customHeight="false" outlineLevel="0" collapsed="false">
      <c r="A65" s="1182" t="n">
        <f aca="false">EDATE(A64,1)</f>
        <v>38565</v>
      </c>
      <c r="C65" s="1183" t="n">
        <f aca="false">A66-A65</f>
        <v>31</v>
      </c>
      <c r="D65" s="1184" t="n">
        <f aca="false">IF($A65&gt;Endyr,0,IF($A65&lt;Assm!$F$32,G65,Capacity*C65))</f>
        <v>3192690</v>
      </c>
      <c r="E65" s="1185" t="n">
        <f aca="false">IF($A65&gt;Endyr,0,Tariff_Cap)</f>
        <v>0.3351</v>
      </c>
      <c r="F65" s="1186" t="n">
        <f aca="false">D65*E65/1000</f>
        <v>1069.870419</v>
      </c>
      <c r="G65" s="1187" t="n">
        <f aca="false">[4]MMBTU!R88</f>
        <v>2092866.048</v>
      </c>
      <c r="H65" s="1185" t="n">
        <f aca="false">IF($A65&gt;Endyr,0,Tariff_Var)</f>
        <v>0.005</v>
      </c>
      <c r="I65" s="1186" t="n">
        <f aca="false">G65*H65/1000</f>
        <v>10.46433024</v>
      </c>
      <c r="J65" s="1188" t="n">
        <f aca="false">SUM(F65,I65)</f>
        <v>1080.33474924</v>
      </c>
      <c r="K65" s="1189" t="n">
        <f aca="false">VLOOKUP($A65,Curves_Table,Escalation!$P$291)</f>
        <v>1.23462294375966</v>
      </c>
      <c r="L65" s="1190" t="n">
        <f aca="false">J65*K65</f>
        <v>1333.80606835255</v>
      </c>
      <c r="M65" s="1191" t="str">
        <f aca="false">IF(MONTH($A65)=12,SUM(L54:L65)," ")</f>
        <v> </v>
      </c>
    </row>
    <row r="66" customFormat="false" ht="12.75" hidden="false" customHeight="false" outlineLevel="0" collapsed="false">
      <c r="A66" s="1182" t="n">
        <f aca="false">EDATE(A65,1)</f>
        <v>38596</v>
      </c>
      <c r="C66" s="1183" t="n">
        <f aca="false">A67-A66</f>
        <v>30</v>
      </c>
      <c r="D66" s="1184" t="n">
        <f aca="false">IF($A66&gt;Endyr,0,IF($A66&lt;Assm!$F$32,G66,Capacity*C66))</f>
        <v>3089700</v>
      </c>
      <c r="E66" s="1185" t="n">
        <f aca="false">IF($A66&gt;Endyr,0,Tariff_Cap)</f>
        <v>0.3351</v>
      </c>
      <c r="F66" s="1186" t="n">
        <f aca="false">D66*E66/1000</f>
        <v>1035.35847</v>
      </c>
      <c r="G66" s="1187" t="n">
        <f aca="false">[4]MMBTU!R89</f>
        <v>2025354.24</v>
      </c>
      <c r="H66" s="1185" t="n">
        <f aca="false">IF($A66&gt;Endyr,0,Tariff_Var)</f>
        <v>0.005</v>
      </c>
      <c r="I66" s="1186" t="n">
        <f aca="false">G66*H66/1000</f>
        <v>10.1267712</v>
      </c>
      <c r="J66" s="1188" t="n">
        <f aca="false">SUM(F66,I66)</f>
        <v>1045.4852412</v>
      </c>
      <c r="K66" s="1189" t="n">
        <f aca="false">VLOOKUP($A66,Curves_Table,Escalation!$P$291)</f>
        <v>1.23462294375966</v>
      </c>
      <c r="L66" s="1190" t="n">
        <f aca="false">J66*K66</f>
        <v>1290.78006614763</v>
      </c>
      <c r="M66" s="1191" t="str">
        <f aca="false">IF(MONTH($A66)=12,SUM(L55:L66)," ")</f>
        <v> </v>
      </c>
    </row>
    <row r="67" customFormat="false" ht="12.75" hidden="false" customHeight="false" outlineLevel="0" collapsed="false">
      <c r="A67" s="1182" t="n">
        <f aca="false">EDATE(A66,1)</f>
        <v>38626</v>
      </c>
      <c r="C67" s="1183" t="n">
        <f aca="false">A68-A67</f>
        <v>31</v>
      </c>
      <c r="D67" s="1184" t="n">
        <f aca="false">IF($A67&gt;Endyr,0,IF($A67&lt;Assm!$F$32,G67,Capacity*C67))</f>
        <v>3192690</v>
      </c>
      <c r="E67" s="1185" t="n">
        <f aca="false">IF($A67&gt;Endyr,0,Tariff_Cap)</f>
        <v>0.3351</v>
      </c>
      <c r="F67" s="1186" t="n">
        <f aca="false">D67*E67/1000</f>
        <v>1069.870419</v>
      </c>
      <c r="G67" s="1187" t="n">
        <f aca="false">[4]MMBTU!R90</f>
        <v>2092866.048</v>
      </c>
      <c r="H67" s="1185" t="n">
        <f aca="false">IF($A67&gt;Endyr,0,Tariff_Var)</f>
        <v>0.005</v>
      </c>
      <c r="I67" s="1186" t="n">
        <f aca="false">G67*H67/1000</f>
        <v>10.46433024</v>
      </c>
      <c r="J67" s="1188" t="n">
        <f aca="false">SUM(F67,I67)</f>
        <v>1080.33474924</v>
      </c>
      <c r="K67" s="1189" t="n">
        <f aca="false">VLOOKUP($A67,Curves_Table,Escalation!$P$291)</f>
        <v>1.23462294375966</v>
      </c>
      <c r="L67" s="1190" t="n">
        <f aca="false">J67*K67</f>
        <v>1333.80606835255</v>
      </c>
      <c r="M67" s="1191" t="str">
        <f aca="false">IF(MONTH($A67)=12,SUM(L56:L67)," ")</f>
        <v> </v>
      </c>
    </row>
    <row r="68" customFormat="false" ht="12.75" hidden="false" customHeight="false" outlineLevel="0" collapsed="false">
      <c r="A68" s="1182" t="n">
        <f aca="false">EDATE(A67,1)</f>
        <v>38657</v>
      </c>
      <c r="C68" s="1183" t="n">
        <f aca="false">A69-A68</f>
        <v>30</v>
      </c>
      <c r="D68" s="1184" t="n">
        <f aca="false">IF($A68&gt;Endyr,0,IF($A68&lt;Assm!$F$32,G68,Capacity*C68))</f>
        <v>3089700</v>
      </c>
      <c r="E68" s="1185" t="n">
        <f aca="false">IF($A68&gt;Endyr,0,Tariff_Cap)</f>
        <v>0.3351</v>
      </c>
      <c r="F68" s="1186" t="n">
        <f aca="false">D68*E68/1000</f>
        <v>1035.35847</v>
      </c>
      <c r="G68" s="1187" t="n">
        <f aca="false">[4]MMBTU!R91</f>
        <v>2025354.24</v>
      </c>
      <c r="H68" s="1185" t="n">
        <f aca="false">IF($A68&gt;Endyr,0,Tariff_Var)</f>
        <v>0.005</v>
      </c>
      <c r="I68" s="1186" t="n">
        <f aca="false">G68*H68/1000</f>
        <v>10.1267712</v>
      </c>
      <c r="J68" s="1188" t="n">
        <f aca="false">SUM(F68,I68)</f>
        <v>1045.4852412</v>
      </c>
      <c r="K68" s="1189" t="n">
        <f aca="false">VLOOKUP($A68,Curves_Table,Escalation!$P$291)</f>
        <v>1.23462294375966</v>
      </c>
      <c r="L68" s="1190" t="n">
        <f aca="false">J68*K68</f>
        <v>1290.78006614763</v>
      </c>
      <c r="M68" s="1191" t="str">
        <f aca="false">IF(MONTH($A68)=12,SUM(L57:L68)," ")</f>
        <v> </v>
      </c>
    </row>
    <row r="69" customFormat="false" ht="12.75" hidden="false" customHeight="false" outlineLevel="0" collapsed="false">
      <c r="A69" s="1182" t="n">
        <f aca="false">EDATE(A68,1)</f>
        <v>38687</v>
      </c>
      <c r="C69" s="1183" t="n">
        <f aca="false">A70-A69</f>
        <v>31</v>
      </c>
      <c r="D69" s="1184" t="n">
        <f aca="false">IF($A69&gt;Endyr,0,IF($A69&lt;Assm!$F$32,G69,Capacity*C69))</f>
        <v>3192690</v>
      </c>
      <c r="E69" s="1185" t="n">
        <f aca="false">IF($A69&gt;Endyr,0,Tariff_Cap)</f>
        <v>0.3351</v>
      </c>
      <c r="F69" s="1186" t="n">
        <f aca="false">D69*E69/1000</f>
        <v>1069.870419</v>
      </c>
      <c r="G69" s="1187" t="n">
        <f aca="false">[4]MMBTU!R92</f>
        <v>2092866.048</v>
      </c>
      <c r="H69" s="1185" t="n">
        <f aca="false">IF($A69&gt;Endyr,0,Tariff_Var)</f>
        <v>0.005</v>
      </c>
      <c r="I69" s="1186" t="n">
        <f aca="false">G69*H69/1000</f>
        <v>10.46433024</v>
      </c>
      <c r="J69" s="1188" t="n">
        <f aca="false">SUM(F69,I69)</f>
        <v>1080.33474924</v>
      </c>
      <c r="K69" s="1189" t="n">
        <f aca="false">VLOOKUP($A69,Curves_Table,Escalation!$P$291)</f>
        <v>1.23462294375966</v>
      </c>
      <c r="L69" s="1190" t="n">
        <f aca="false">J69*K69</f>
        <v>1333.80606835255</v>
      </c>
      <c r="M69" s="1191" t="n">
        <f aca="false">IF(MONTH($A69)=12,SUM(L58:L69)," ")</f>
        <v>15561.1605933461</v>
      </c>
      <c r="N69" s="19" t="n">
        <f aca="false">SUM(G60:G69)</f>
        <v>20658613.248</v>
      </c>
    </row>
    <row r="70" customFormat="false" ht="12.75" hidden="false" customHeight="false" outlineLevel="0" collapsed="false">
      <c r="A70" s="1182" t="n">
        <f aca="false">EDATE(A69,1)</f>
        <v>38718</v>
      </c>
      <c r="C70" s="1183" t="n">
        <f aca="false">A71-A70</f>
        <v>31</v>
      </c>
      <c r="D70" s="1184" t="n">
        <f aca="false">IF($A70&gt;Endyr,0,IF($A70&lt;Assm!$F$32,G70,Capacity*C70))</f>
        <v>3192690</v>
      </c>
      <c r="E70" s="1185" t="n">
        <f aca="false">IF($A70&gt;Endyr,0,Tariff_Cap)</f>
        <v>0.3351</v>
      </c>
      <c r="F70" s="1186" t="n">
        <f aca="false">D70*E70/1000</f>
        <v>1069.870419</v>
      </c>
      <c r="G70" s="1187" t="n">
        <f aca="false">[4]MMBTU!R93</f>
        <v>2092866.048</v>
      </c>
      <c r="H70" s="1185" t="n">
        <f aca="false">IF($A70&gt;Endyr,0,Tariff_Var)</f>
        <v>0.005</v>
      </c>
      <c r="I70" s="1186" t="n">
        <f aca="false">G70*H70/1000</f>
        <v>10.46433024</v>
      </c>
      <c r="J70" s="1188" t="n">
        <f aca="false">SUM(F70,I70)</f>
        <v>1080.33474924</v>
      </c>
      <c r="K70" s="1189" t="n">
        <f aca="false">VLOOKUP($A70,Curves_Table,Escalation!$P$291)</f>
        <v>1.23462294375966</v>
      </c>
      <c r="L70" s="1190" t="n">
        <f aca="false">J70*K70</f>
        <v>1333.80606835255</v>
      </c>
      <c r="M70" s="1191" t="str">
        <f aca="false">IF(MONTH($A70)=12,SUM(L59:L70)," ")</f>
        <v> </v>
      </c>
    </row>
    <row r="71" customFormat="false" ht="12.75" hidden="false" customHeight="false" outlineLevel="0" collapsed="false">
      <c r="A71" s="1182" t="n">
        <f aca="false">EDATE(A70,1)</f>
        <v>38749</v>
      </c>
      <c r="C71" s="1183" t="n">
        <f aca="false">A72-A71</f>
        <v>28</v>
      </c>
      <c r="D71" s="1184" t="n">
        <f aca="false">IF($A71&gt;Endyr,0,IF($A71&lt;Assm!$F$32,G71,Capacity*C71))</f>
        <v>2883720</v>
      </c>
      <c r="E71" s="1185" t="n">
        <f aca="false">IF($A71&gt;Endyr,0,Tariff_Cap)</f>
        <v>0.3351</v>
      </c>
      <c r="F71" s="1186" t="n">
        <f aca="false">D71*E71/1000</f>
        <v>966.334572</v>
      </c>
      <c r="G71" s="1187" t="n">
        <f aca="false">[4]MMBTU!R94</f>
        <v>1890330.624</v>
      </c>
      <c r="H71" s="1185" t="n">
        <f aca="false">IF($A71&gt;Endyr,0,Tariff_Var)</f>
        <v>0.005</v>
      </c>
      <c r="I71" s="1186" t="n">
        <f aca="false">G71*H71/1000</f>
        <v>9.45165312</v>
      </c>
      <c r="J71" s="1188" t="n">
        <f aca="false">SUM(F71,I71)</f>
        <v>975.78622512</v>
      </c>
      <c r="K71" s="1189" t="n">
        <f aca="false">VLOOKUP($A71,Curves_Table,Escalation!$P$291)</f>
        <v>1.23462294375966</v>
      </c>
      <c r="L71" s="1190" t="n">
        <f aca="false">J71*K71</f>
        <v>1204.72806173778</v>
      </c>
      <c r="M71" s="1191" t="str">
        <f aca="false">IF(MONTH($A71)=12,SUM(L60:L71)," ")</f>
        <v> </v>
      </c>
    </row>
    <row r="72" customFormat="false" ht="12.75" hidden="false" customHeight="false" outlineLevel="0" collapsed="false">
      <c r="A72" s="1182" t="n">
        <f aca="false">EDATE(A71,1)</f>
        <v>38777</v>
      </c>
      <c r="C72" s="1183" t="n">
        <f aca="false">A73-A72</f>
        <v>31</v>
      </c>
      <c r="D72" s="1184" t="n">
        <f aca="false">IF($A72&gt;Endyr,0,IF($A72&lt;Assm!$F$32,G72,Capacity*C72))</f>
        <v>3192690</v>
      </c>
      <c r="E72" s="1185" t="n">
        <f aca="false">IF($A72&gt;Endyr,0,Tariff_Cap)</f>
        <v>0.3351</v>
      </c>
      <c r="F72" s="1186" t="n">
        <f aca="false">D72*E72/1000</f>
        <v>1069.870419</v>
      </c>
      <c r="G72" s="1187" t="n">
        <f aca="false">[4]MMBTU!R95</f>
        <v>2092866.048</v>
      </c>
      <c r="H72" s="1185" t="n">
        <f aca="false">IF($A72&gt;Endyr,0,Tariff_Var)</f>
        <v>0.005</v>
      </c>
      <c r="I72" s="1186" t="n">
        <f aca="false">G72*H72/1000</f>
        <v>10.46433024</v>
      </c>
      <c r="J72" s="1188" t="n">
        <f aca="false">SUM(F72,I72)</f>
        <v>1080.33474924</v>
      </c>
      <c r="K72" s="1189" t="n">
        <f aca="false">VLOOKUP($A72,Curves_Table,Escalation!$P$291)</f>
        <v>1.23462294375966</v>
      </c>
      <c r="L72" s="1190" t="n">
        <f aca="false">J72*K72</f>
        <v>1333.80606835255</v>
      </c>
      <c r="M72" s="1191" t="str">
        <f aca="false">IF(MONTH($A72)=12,SUM(L61:L72)," ")</f>
        <v> </v>
      </c>
    </row>
    <row r="73" customFormat="false" ht="12.75" hidden="false" customHeight="false" outlineLevel="0" collapsed="false">
      <c r="A73" s="1182" t="n">
        <f aca="false">EDATE(A72,1)</f>
        <v>38808</v>
      </c>
      <c r="C73" s="1183" t="n">
        <f aca="false">A74-A73</f>
        <v>30</v>
      </c>
      <c r="D73" s="1184" t="n">
        <f aca="false">IF($A73&gt;Endyr,0,IF($A73&lt;Assm!$F$32,G73,Capacity*C73))</f>
        <v>3089700</v>
      </c>
      <c r="E73" s="1185" t="n">
        <f aca="false">IF($A73&gt;Endyr,0,Tariff_Cap)</f>
        <v>0.3351</v>
      </c>
      <c r="F73" s="1186" t="n">
        <f aca="false">D73*E73/1000</f>
        <v>1035.35847</v>
      </c>
      <c r="G73" s="1187" t="n">
        <f aca="false">[4]MMBTU!R96</f>
        <v>2025354.24</v>
      </c>
      <c r="H73" s="1185" t="n">
        <f aca="false">IF($A73&gt;Endyr,0,Tariff_Var)</f>
        <v>0.005</v>
      </c>
      <c r="I73" s="1186" t="n">
        <f aca="false">G73*H73/1000</f>
        <v>10.1267712</v>
      </c>
      <c r="J73" s="1188" t="n">
        <f aca="false">SUM(F73,I73)</f>
        <v>1045.4852412</v>
      </c>
      <c r="K73" s="1189" t="n">
        <f aca="false">VLOOKUP($A73,Curves_Table,Escalation!$P$291)</f>
        <v>1.23462294375966</v>
      </c>
      <c r="L73" s="1190" t="n">
        <f aca="false">J73*K73</f>
        <v>1290.78006614763</v>
      </c>
      <c r="M73" s="1191" t="str">
        <f aca="false">IF(MONTH($A73)=12,SUM(L62:L73)," ")</f>
        <v> </v>
      </c>
    </row>
    <row r="74" customFormat="false" ht="12.75" hidden="false" customHeight="false" outlineLevel="0" collapsed="false">
      <c r="A74" s="1182" t="n">
        <f aca="false">EDATE(A73,1)</f>
        <v>38838</v>
      </c>
      <c r="C74" s="1183" t="n">
        <f aca="false">A75-A74</f>
        <v>31</v>
      </c>
      <c r="D74" s="1184" t="n">
        <f aca="false">IF($A74&gt;Endyr,0,IF($A74&lt;Assm!$F$32,G74,Capacity*C74))</f>
        <v>3192690</v>
      </c>
      <c r="E74" s="1185" t="n">
        <f aca="false">IF($A74&gt;Endyr,0,Tariff_Cap)</f>
        <v>0.3351</v>
      </c>
      <c r="F74" s="1186" t="n">
        <f aca="false">D74*E74/1000</f>
        <v>1069.870419</v>
      </c>
      <c r="G74" s="1187" t="n">
        <f aca="false">[4]MMBTU!R97</f>
        <v>2092866.048</v>
      </c>
      <c r="H74" s="1185" t="n">
        <f aca="false">IF($A74&gt;Endyr,0,Tariff_Var)</f>
        <v>0.005</v>
      </c>
      <c r="I74" s="1186" t="n">
        <f aca="false">G74*H74/1000</f>
        <v>10.46433024</v>
      </c>
      <c r="J74" s="1188" t="n">
        <f aca="false">SUM(F74,I74)</f>
        <v>1080.33474924</v>
      </c>
      <c r="K74" s="1189" t="n">
        <f aca="false">VLOOKUP($A74,Curves_Table,Escalation!$P$291)</f>
        <v>1.26919095628799</v>
      </c>
      <c r="L74" s="1190" t="n">
        <f aca="false">J74*K74</f>
        <v>1371.15109349906</v>
      </c>
      <c r="M74" s="1191" t="str">
        <f aca="false">IF(MONTH($A74)=12,SUM(L63:L74)," ")</f>
        <v> </v>
      </c>
    </row>
    <row r="75" customFormat="false" ht="12.75" hidden="false" customHeight="false" outlineLevel="0" collapsed="false">
      <c r="A75" s="1182" t="n">
        <f aca="false">EDATE(A74,1)</f>
        <v>38869</v>
      </c>
      <c r="C75" s="1183" t="n">
        <f aca="false">A76-A75</f>
        <v>30</v>
      </c>
      <c r="D75" s="1184" t="n">
        <f aca="false">IF($A75&gt;Endyr,0,IF($A75&lt;Assm!$F$32,G75,Capacity*C75))</f>
        <v>3089700</v>
      </c>
      <c r="E75" s="1185" t="n">
        <f aca="false">IF($A75&gt;Endyr,0,Tariff_Cap)</f>
        <v>0.3351</v>
      </c>
      <c r="F75" s="1186" t="n">
        <f aca="false">D75*E75/1000</f>
        <v>1035.35847</v>
      </c>
      <c r="G75" s="1187" t="n">
        <f aca="false">[4]MMBTU!R98</f>
        <v>2025354.24</v>
      </c>
      <c r="H75" s="1185" t="n">
        <f aca="false">IF($A75&gt;Endyr,0,Tariff_Var)</f>
        <v>0.005</v>
      </c>
      <c r="I75" s="1186" t="n">
        <f aca="false">G75*H75/1000</f>
        <v>10.1267712</v>
      </c>
      <c r="J75" s="1188" t="n">
        <f aca="false">SUM(F75,I75)</f>
        <v>1045.4852412</v>
      </c>
      <c r="K75" s="1189" t="n">
        <f aca="false">VLOOKUP($A75,Curves_Table,Escalation!$P$291)</f>
        <v>1.26919095628799</v>
      </c>
      <c r="L75" s="1190" t="n">
        <f aca="false">J75*K75</f>
        <v>1326.92041306361</v>
      </c>
      <c r="M75" s="1191" t="str">
        <f aca="false">IF(MONTH($A75)=12,SUM(L64:L75)," ")</f>
        <v> </v>
      </c>
    </row>
    <row r="76" customFormat="false" ht="12.75" hidden="false" customHeight="false" outlineLevel="0" collapsed="false">
      <c r="A76" s="1182" t="n">
        <f aca="false">EDATE(A75,1)</f>
        <v>38899</v>
      </c>
      <c r="C76" s="1183" t="n">
        <f aca="false">A77-A76</f>
        <v>31</v>
      </c>
      <c r="D76" s="1184" t="n">
        <f aca="false">IF($A76&gt;Endyr,0,IF($A76&lt;Assm!$F$32,G76,Capacity*C76))</f>
        <v>3192690</v>
      </c>
      <c r="E76" s="1185" t="n">
        <f aca="false">IF($A76&gt;Endyr,0,Tariff_Cap)</f>
        <v>0.3351</v>
      </c>
      <c r="F76" s="1186" t="n">
        <f aca="false">D76*E76/1000</f>
        <v>1069.870419</v>
      </c>
      <c r="G76" s="1187" t="n">
        <f aca="false">[4]MMBTU!R99</f>
        <v>2092866.048</v>
      </c>
      <c r="H76" s="1185" t="n">
        <f aca="false">IF($A76&gt;Endyr,0,Tariff_Var)</f>
        <v>0.005</v>
      </c>
      <c r="I76" s="1186" t="n">
        <f aca="false">G76*H76/1000</f>
        <v>10.46433024</v>
      </c>
      <c r="J76" s="1188" t="n">
        <f aca="false">SUM(F76,I76)</f>
        <v>1080.33474924</v>
      </c>
      <c r="K76" s="1189" t="n">
        <f aca="false">VLOOKUP($A76,Curves_Table,Escalation!$P$291)</f>
        <v>1.26919095628799</v>
      </c>
      <c r="L76" s="1190" t="n">
        <f aca="false">J76*K76</f>
        <v>1371.15109349906</v>
      </c>
      <c r="M76" s="1191" t="str">
        <f aca="false">IF(MONTH($A76)=12,SUM(L65:L76)," ")</f>
        <v> </v>
      </c>
    </row>
    <row r="77" customFormat="false" ht="12.75" hidden="false" customHeight="false" outlineLevel="0" collapsed="false">
      <c r="A77" s="1182" t="n">
        <f aca="false">EDATE(A76,1)</f>
        <v>38930</v>
      </c>
      <c r="C77" s="1183" t="n">
        <f aca="false">A78-A77</f>
        <v>31</v>
      </c>
      <c r="D77" s="1184" t="n">
        <f aca="false">IF($A77&gt;Endyr,0,IF($A77&lt;Assm!$F$32,G77,Capacity*C77))</f>
        <v>3192690</v>
      </c>
      <c r="E77" s="1185" t="n">
        <f aca="false">IF($A77&gt;Endyr,0,Tariff_Cap)</f>
        <v>0.3351</v>
      </c>
      <c r="F77" s="1186" t="n">
        <f aca="false">D77*E77/1000</f>
        <v>1069.870419</v>
      </c>
      <c r="G77" s="1187" t="n">
        <f aca="false">[4]MMBTU!R100</f>
        <v>2092866.048</v>
      </c>
      <c r="H77" s="1185" t="n">
        <f aca="false">IF($A77&gt;Endyr,0,Tariff_Var)</f>
        <v>0.005</v>
      </c>
      <c r="I77" s="1186" t="n">
        <f aca="false">G77*H77/1000</f>
        <v>10.46433024</v>
      </c>
      <c r="J77" s="1188" t="n">
        <f aca="false">SUM(F77,I77)</f>
        <v>1080.33474924</v>
      </c>
      <c r="K77" s="1189" t="n">
        <f aca="false">VLOOKUP($A77,Curves_Table,Escalation!$P$291)</f>
        <v>1.26919095628799</v>
      </c>
      <c r="L77" s="1190" t="n">
        <f aca="false">J77*K77</f>
        <v>1371.15109349906</v>
      </c>
      <c r="M77" s="1191" t="str">
        <f aca="false">IF(MONTH($A77)=12,SUM(L66:L77)," ")</f>
        <v> </v>
      </c>
    </row>
    <row r="78" customFormat="false" ht="12.75" hidden="false" customHeight="false" outlineLevel="0" collapsed="false">
      <c r="A78" s="1182" t="n">
        <f aca="false">EDATE(A77,1)</f>
        <v>38961</v>
      </c>
      <c r="C78" s="1183" t="n">
        <f aca="false">A79-A78</f>
        <v>30</v>
      </c>
      <c r="D78" s="1184" t="n">
        <f aca="false">IF($A78&gt;Endyr,0,IF($A78&lt;Assm!$F$32,G78,Capacity*C78))</f>
        <v>3089700</v>
      </c>
      <c r="E78" s="1185" t="n">
        <f aca="false">IF($A78&gt;Endyr,0,Tariff_Cap)</f>
        <v>0.3351</v>
      </c>
      <c r="F78" s="1186" t="n">
        <f aca="false">D78*E78/1000</f>
        <v>1035.35847</v>
      </c>
      <c r="G78" s="1187" t="n">
        <f aca="false">[4]MMBTU!R101</f>
        <v>2025354.24</v>
      </c>
      <c r="H78" s="1185" t="n">
        <f aca="false">IF($A78&gt;Endyr,0,Tariff_Var)</f>
        <v>0.005</v>
      </c>
      <c r="I78" s="1186" t="n">
        <f aca="false">G78*H78/1000</f>
        <v>10.1267712</v>
      </c>
      <c r="J78" s="1188" t="n">
        <f aca="false">SUM(F78,I78)</f>
        <v>1045.4852412</v>
      </c>
      <c r="K78" s="1189" t="n">
        <f aca="false">VLOOKUP($A78,Curves_Table,Escalation!$P$291)</f>
        <v>1.26919095628799</v>
      </c>
      <c r="L78" s="1190" t="n">
        <f aca="false">J78*K78</f>
        <v>1326.92041306361</v>
      </c>
      <c r="M78" s="1191" t="str">
        <f aca="false">IF(MONTH($A78)=12,SUM(L67:L78)," ")</f>
        <v> </v>
      </c>
    </row>
    <row r="79" customFormat="false" ht="12.75" hidden="false" customHeight="false" outlineLevel="0" collapsed="false">
      <c r="A79" s="1182" t="n">
        <f aca="false">EDATE(A78,1)</f>
        <v>38991</v>
      </c>
      <c r="C79" s="1183" t="n">
        <f aca="false">A80-A79</f>
        <v>31</v>
      </c>
      <c r="D79" s="1184" t="n">
        <f aca="false">IF($A79&gt;Endyr,0,IF($A79&lt;Assm!$F$32,G79,Capacity*C79))</f>
        <v>3192690</v>
      </c>
      <c r="E79" s="1185" t="n">
        <f aca="false">IF($A79&gt;Endyr,0,Tariff_Cap)</f>
        <v>0.3351</v>
      </c>
      <c r="F79" s="1186" t="n">
        <f aca="false">D79*E79/1000</f>
        <v>1069.870419</v>
      </c>
      <c r="G79" s="1187" t="n">
        <f aca="false">[4]MMBTU!R102</f>
        <v>2092866.048</v>
      </c>
      <c r="H79" s="1185" t="n">
        <f aca="false">IF($A79&gt;Endyr,0,Tariff_Var)</f>
        <v>0.005</v>
      </c>
      <c r="I79" s="1186" t="n">
        <f aca="false">G79*H79/1000</f>
        <v>10.46433024</v>
      </c>
      <c r="J79" s="1188" t="n">
        <f aca="false">SUM(F79,I79)</f>
        <v>1080.33474924</v>
      </c>
      <c r="K79" s="1189" t="n">
        <f aca="false">VLOOKUP($A79,Curves_Table,Escalation!$P$291)</f>
        <v>1.26919095628799</v>
      </c>
      <c r="L79" s="1190" t="n">
        <f aca="false">J79*K79</f>
        <v>1371.15109349906</v>
      </c>
      <c r="M79" s="1191" t="str">
        <f aca="false">IF(MONTH($A79)=12,SUM(L68:L79)," ")</f>
        <v> </v>
      </c>
    </row>
    <row r="80" customFormat="false" ht="12.75" hidden="false" customHeight="false" outlineLevel="0" collapsed="false">
      <c r="A80" s="1182" t="n">
        <f aca="false">EDATE(A79,1)</f>
        <v>39022</v>
      </c>
      <c r="C80" s="1183" t="n">
        <f aca="false">A81-A80</f>
        <v>30</v>
      </c>
      <c r="D80" s="1184" t="n">
        <f aca="false">IF($A80&gt;Endyr,0,IF($A80&lt;Assm!$F$32,G80,Capacity*C80))</f>
        <v>3089700</v>
      </c>
      <c r="E80" s="1185" t="n">
        <f aca="false">IF($A80&gt;Endyr,0,Tariff_Cap)</f>
        <v>0.3351</v>
      </c>
      <c r="F80" s="1186" t="n">
        <f aca="false">D80*E80/1000</f>
        <v>1035.35847</v>
      </c>
      <c r="G80" s="1187" t="n">
        <f aca="false">[4]MMBTU!R103</f>
        <v>2025354.24</v>
      </c>
      <c r="H80" s="1185" t="n">
        <f aca="false">IF($A80&gt;Endyr,0,Tariff_Var)</f>
        <v>0.005</v>
      </c>
      <c r="I80" s="1186" t="n">
        <f aca="false">G80*H80/1000</f>
        <v>10.1267712</v>
      </c>
      <c r="J80" s="1188" t="n">
        <f aca="false">SUM(F80,I80)</f>
        <v>1045.4852412</v>
      </c>
      <c r="K80" s="1189" t="n">
        <f aca="false">VLOOKUP($A80,Curves_Table,Escalation!$P$291)</f>
        <v>1.26919095628799</v>
      </c>
      <c r="L80" s="1190" t="n">
        <f aca="false">J80*K80</f>
        <v>1326.92041306361</v>
      </c>
      <c r="M80" s="1191" t="str">
        <f aca="false">IF(MONTH($A80)=12,SUM(L69:L80)," ")</f>
        <v> </v>
      </c>
    </row>
    <row r="81" customFormat="false" ht="12.75" hidden="false" customHeight="false" outlineLevel="0" collapsed="false">
      <c r="A81" s="1182" t="n">
        <f aca="false">EDATE(A80,1)</f>
        <v>39052</v>
      </c>
      <c r="C81" s="1183" t="n">
        <f aca="false">A82-A81</f>
        <v>31</v>
      </c>
      <c r="D81" s="1184" t="n">
        <f aca="false">IF($A81&gt;Endyr,0,IF($A81&lt;Assm!$F$32,G81,Capacity*C81))</f>
        <v>3192690</v>
      </c>
      <c r="E81" s="1185" t="n">
        <f aca="false">IF($A81&gt;Endyr,0,Tariff_Cap)</f>
        <v>0.3351</v>
      </c>
      <c r="F81" s="1186" t="n">
        <f aca="false">D81*E81/1000</f>
        <v>1069.870419</v>
      </c>
      <c r="G81" s="1187" t="n">
        <f aca="false">[4]MMBTU!R104</f>
        <v>2092866.048</v>
      </c>
      <c r="H81" s="1185" t="n">
        <f aca="false">IF($A81&gt;Endyr,0,Tariff_Var)</f>
        <v>0.005</v>
      </c>
      <c r="I81" s="1186" t="n">
        <f aca="false">G81*H81/1000</f>
        <v>10.46433024</v>
      </c>
      <c r="J81" s="1188" t="n">
        <f aca="false">SUM(F81,I81)</f>
        <v>1080.33474924</v>
      </c>
      <c r="K81" s="1189" t="n">
        <f aca="false">VLOOKUP($A81,Curves_Table,Escalation!$P$291)</f>
        <v>1.26919095628799</v>
      </c>
      <c r="L81" s="1190" t="n">
        <f aca="false">J81*K81</f>
        <v>1371.15109349906</v>
      </c>
      <c r="M81" s="1191" t="n">
        <f aca="false">IF(MONTH($A81)=12,SUM(L70:L81)," ")</f>
        <v>15999.6369712766</v>
      </c>
    </row>
    <row r="82" customFormat="false" ht="12.75" hidden="false" customHeight="false" outlineLevel="0" collapsed="false">
      <c r="A82" s="1182" t="n">
        <f aca="false">EDATE(A81,1)</f>
        <v>39083</v>
      </c>
      <c r="C82" s="1183" t="n">
        <f aca="false">A83-A82</f>
        <v>31</v>
      </c>
      <c r="D82" s="1184" t="n">
        <f aca="false">IF($A82&gt;Endyr,0,IF($A82&lt;Assm!$F$32,G82,Capacity*C82))</f>
        <v>3192690</v>
      </c>
      <c r="E82" s="1185" t="n">
        <f aca="false">IF($A82&gt;Endyr,0,Tariff_Cap)</f>
        <v>0.3351</v>
      </c>
      <c r="F82" s="1186" t="n">
        <f aca="false">D82*E82/1000</f>
        <v>1069.870419</v>
      </c>
      <c r="G82" s="1187" t="n">
        <f aca="false">[4]MMBTU!R105</f>
        <v>2092866.048</v>
      </c>
      <c r="H82" s="1185" t="n">
        <f aca="false">IF($A82&gt;Endyr,0,Tariff_Var)</f>
        <v>0.005</v>
      </c>
      <c r="I82" s="1186" t="n">
        <f aca="false">G82*H82/1000</f>
        <v>10.46433024</v>
      </c>
      <c r="J82" s="1188" t="n">
        <f aca="false">SUM(F82,I82)</f>
        <v>1080.33474924</v>
      </c>
      <c r="K82" s="1189" t="n">
        <f aca="false">VLOOKUP($A82,Curves_Table,Escalation!$P$291)</f>
        <v>1.26919095628799</v>
      </c>
      <c r="L82" s="1190" t="n">
        <f aca="false">J82*K82</f>
        <v>1371.15109349906</v>
      </c>
      <c r="M82" s="1191" t="str">
        <f aca="false">IF(MONTH($A82)=12,SUM(L71:L82)," ")</f>
        <v> </v>
      </c>
    </row>
    <row r="83" customFormat="false" ht="12.75" hidden="false" customHeight="false" outlineLevel="0" collapsed="false">
      <c r="A83" s="1182" t="n">
        <f aca="false">EDATE(A82,1)</f>
        <v>39114</v>
      </c>
      <c r="C83" s="1183" t="n">
        <f aca="false">A84-A83</f>
        <v>28</v>
      </c>
      <c r="D83" s="1184" t="n">
        <f aca="false">IF($A83&gt;Endyr,0,IF($A83&lt;Assm!$F$32,G83,Capacity*C83))</f>
        <v>2883720</v>
      </c>
      <c r="E83" s="1185" t="n">
        <f aca="false">IF($A83&gt;Endyr,0,Tariff_Cap)</f>
        <v>0.3351</v>
      </c>
      <c r="F83" s="1186" t="n">
        <f aca="false">D83*E83/1000</f>
        <v>966.334572</v>
      </c>
      <c r="G83" s="1187" t="n">
        <f aca="false">[4]MMBTU!R106</f>
        <v>1890330.624</v>
      </c>
      <c r="H83" s="1185" t="n">
        <f aca="false">IF($A83&gt;Endyr,0,Tariff_Var)</f>
        <v>0.005</v>
      </c>
      <c r="I83" s="1186" t="n">
        <f aca="false">G83*H83/1000</f>
        <v>9.45165312</v>
      </c>
      <c r="J83" s="1188" t="n">
        <f aca="false">SUM(F83,I83)</f>
        <v>975.78622512</v>
      </c>
      <c r="K83" s="1189" t="n">
        <f aca="false">VLOOKUP($A83,Curves_Table,Escalation!$P$291)</f>
        <v>1.26919095628799</v>
      </c>
      <c r="L83" s="1190" t="n">
        <f aca="false">J83*K83</f>
        <v>1238.4590521927</v>
      </c>
      <c r="M83" s="1191" t="str">
        <f aca="false">IF(MONTH($A83)=12,SUM(L72:L83)," ")</f>
        <v> </v>
      </c>
    </row>
    <row r="84" customFormat="false" ht="12.75" hidden="false" customHeight="false" outlineLevel="0" collapsed="false">
      <c r="A84" s="1182" t="n">
        <f aca="false">EDATE(A83,1)</f>
        <v>39142</v>
      </c>
      <c r="C84" s="1183" t="n">
        <f aca="false">A85-A84</f>
        <v>31</v>
      </c>
      <c r="D84" s="1184" t="n">
        <f aca="false">IF($A84&gt;Endyr,0,IF($A84&lt;Assm!$F$32,G84,Capacity*C84))</f>
        <v>3192690</v>
      </c>
      <c r="E84" s="1185" t="n">
        <f aca="false">IF($A84&gt;Endyr,0,Tariff_Cap)</f>
        <v>0.3351</v>
      </c>
      <c r="F84" s="1186" t="n">
        <f aca="false">D84*E84/1000</f>
        <v>1069.870419</v>
      </c>
      <c r="G84" s="1187" t="n">
        <f aca="false">[4]MMBTU!R107</f>
        <v>2092866.048</v>
      </c>
      <c r="H84" s="1185" t="n">
        <f aca="false">IF($A84&gt;Endyr,0,Tariff_Var)</f>
        <v>0.005</v>
      </c>
      <c r="I84" s="1186" t="n">
        <f aca="false">G84*H84/1000</f>
        <v>10.46433024</v>
      </c>
      <c r="J84" s="1188" t="n">
        <f aca="false">SUM(F84,I84)</f>
        <v>1080.33474924</v>
      </c>
      <c r="K84" s="1189" t="n">
        <f aca="false">VLOOKUP($A84,Curves_Table,Escalation!$P$291)</f>
        <v>1.26919095628799</v>
      </c>
      <c r="L84" s="1190" t="n">
        <f aca="false">J84*K84</f>
        <v>1371.15109349906</v>
      </c>
      <c r="M84" s="1191" t="str">
        <f aca="false">IF(MONTH($A84)=12,SUM(L73:L84)," ")</f>
        <v> </v>
      </c>
    </row>
    <row r="85" customFormat="false" ht="12.75" hidden="false" customHeight="false" outlineLevel="0" collapsed="false">
      <c r="A85" s="1182" t="n">
        <f aca="false">EDATE(A84,1)</f>
        <v>39173</v>
      </c>
      <c r="C85" s="1183" t="n">
        <f aca="false">A86-A85</f>
        <v>30</v>
      </c>
      <c r="D85" s="1184" t="n">
        <f aca="false">IF($A85&gt;Endyr,0,IF($A85&lt;Assm!$F$32,G85,Capacity*C85))</f>
        <v>3089700</v>
      </c>
      <c r="E85" s="1185" t="n">
        <f aca="false">IF($A85&gt;Endyr,0,Tariff_Cap)</f>
        <v>0.3351</v>
      </c>
      <c r="F85" s="1186" t="n">
        <f aca="false">D85*E85/1000</f>
        <v>1035.35847</v>
      </c>
      <c r="G85" s="1187" t="n">
        <f aca="false">[4]MMBTU!R108</f>
        <v>2025354.24</v>
      </c>
      <c r="H85" s="1185" t="n">
        <f aca="false">IF($A85&gt;Endyr,0,Tariff_Var)</f>
        <v>0.005</v>
      </c>
      <c r="I85" s="1186" t="n">
        <f aca="false">G85*H85/1000</f>
        <v>10.1267712</v>
      </c>
      <c r="J85" s="1188" t="n">
        <f aca="false">SUM(F85,I85)</f>
        <v>1045.4852412</v>
      </c>
      <c r="K85" s="1189" t="n">
        <f aca="false">VLOOKUP($A85,Curves_Table,Escalation!$P$291)</f>
        <v>1.26919095628799</v>
      </c>
      <c r="L85" s="1190" t="n">
        <f aca="false">J85*K85</f>
        <v>1326.92041306361</v>
      </c>
      <c r="M85" s="1191" t="str">
        <f aca="false">IF(MONTH($A85)=12,SUM(L74:L85)," ")</f>
        <v> </v>
      </c>
    </row>
    <row r="86" customFormat="false" ht="12.75" hidden="false" customHeight="false" outlineLevel="0" collapsed="false">
      <c r="A86" s="1182" t="n">
        <f aca="false">EDATE(A85,1)</f>
        <v>39203</v>
      </c>
      <c r="C86" s="1183" t="n">
        <f aca="false">A87-A86</f>
        <v>31</v>
      </c>
      <c r="D86" s="1184" t="n">
        <f aca="false">IF($A86&gt;Endyr,0,IF($A86&lt;Assm!$F$32,G86,Capacity*C86))</f>
        <v>3192690</v>
      </c>
      <c r="E86" s="1185" t="n">
        <f aca="false">IF($A86&gt;Endyr,0,Tariff_Cap)</f>
        <v>0.3351</v>
      </c>
      <c r="F86" s="1186" t="n">
        <f aca="false">D86*E86/1000</f>
        <v>1069.870419</v>
      </c>
      <c r="G86" s="1187" t="n">
        <f aca="false">[4]MMBTU!R109</f>
        <v>2092866.048</v>
      </c>
      <c r="H86" s="1185" t="n">
        <f aca="false">IF($A86&gt;Endyr,0,Tariff_Var)</f>
        <v>0.005</v>
      </c>
      <c r="I86" s="1186" t="n">
        <f aca="false">G86*H86/1000</f>
        <v>10.46433024</v>
      </c>
      <c r="J86" s="1188" t="n">
        <f aca="false">SUM(F86,I86)</f>
        <v>1080.33474924</v>
      </c>
      <c r="K86" s="1189" t="n">
        <f aca="false">VLOOKUP($A86,Curves_Table,Escalation!$P$291)</f>
        <v>1.30389657610682</v>
      </c>
      <c r="L86" s="1190" t="n">
        <f aca="false">J86*K86</f>
        <v>1408.64478058325</v>
      </c>
      <c r="M86" s="1191" t="str">
        <f aca="false">IF(MONTH($A86)=12,SUM(L75:L86)," ")</f>
        <v> </v>
      </c>
    </row>
    <row r="87" customFormat="false" ht="12.75" hidden="false" customHeight="false" outlineLevel="0" collapsed="false">
      <c r="A87" s="1182" t="n">
        <f aca="false">EDATE(A86,1)</f>
        <v>39234</v>
      </c>
      <c r="C87" s="1183" t="n">
        <f aca="false">A88-A87</f>
        <v>30</v>
      </c>
      <c r="D87" s="1184" t="n">
        <f aca="false">IF($A87&gt;Endyr,0,IF($A87&lt;Assm!$F$32,G87,Capacity*C87))</f>
        <v>3089700</v>
      </c>
      <c r="E87" s="1185" t="n">
        <f aca="false">IF($A87&gt;Endyr,0,Tariff_Cap)</f>
        <v>0.3351</v>
      </c>
      <c r="F87" s="1186" t="n">
        <f aca="false">D87*E87/1000</f>
        <v>1035.35847</v>
      </c>
      <c r="G87" s="1187" t="n">
        <f aca="false">[4]MMBTU!R110</f>
        <v>2025354.24</v>
      </c>
      <c r="H87" s="1185" t="n">
        <f aca="false">IF($A87&gt;Endyr,0,Tariff_Var)</f>
        <v>0.005</v>
      </c>
      <c r="I87" s="1186" t="n">
        <f aca="false">G87*H87/1000</f>
        <v>10.1267712</v>
      </c>
      <c r="J87" s="1188" t="n">
        <f aca="false">SUM(F87,I87)</f>
        <v>1045.4852412</v>
      </c>
      <c r="K87" s="1189" t="n">
        <f aca="false">VLOOKUP($A87,Curves_Table,Escalation!$P$291)</f>
        <v>1.30389657610682</v>
      </c>
      <c r="L87" s="1190" t="n">
        <f aca="false">J87*K87</f>
        <v>1363.20462637089</v>
      </c>
      <c r="M87" s="1191" t="str">
        <f aca="false">IF(MONTH($A87)=12,SUM(L76:L87)," ")</f>
        <v> </v>
      </c>
    </row>
    <row r="88" customFormat="false" ht="12.75" hidden="false" customHeight="false" outlineLevel="0" collapsed="false">
      <c r="A88" s="1182" t="n">
        <f aca="false">EDATE(A87,1)</f>
        <v>39264</v>
      </c>
      <c r="C88" s="1183" t="n">
        <f aca="false">A89-A88</f>
        <v>31</v>
      </c>
      <c r="D88" s="1184" t="n">
        <f aca="false">IF($A88&gt;Endyr,0,IF($A88&lt;Assm!$F$32,G88,Capacity*C88))</f>
        <v>3192690</v>
      </c>
      <c r="E88" s="1185" t="n">
        <f aca="false">IF($A88&gt;Endyr,0,Tariff_Cap)</f>
        <v>0.3351</v>
      </c>
      <c r="F88" s="1186" t="n">
        <f aca="false">D88*E88/1000</f>
        <v>1069.870419</v>
      </c>
      <c r="G88" s="1187" t="n">
        <f aca="false">[4]MMBTU!R111</f>
        <v>2092866.048</v>
      </c>
      <c r="H88" s="1185" t="n">
        <f aca="false">IF($A88&gt;Endyr,0,Tariff_Var)</f>
        <v>0.005</v>
      </c>
      <c r="I88" s="1186" t="n">
        <f aca="false">G88*H88/1000</f>
        <v>10.46433024</v>
      </c>
      <c r="J88" s="1188" t="n">
        <f aca="false">SUM(F88,I88)</f>
        <v>1080.33474924</v>
      </c>
      <c r="K88" s="1189" t="n">
        <f aca="false">VLOOKUP($A88,Curves_Table,Escalation!$P$291)</f>
        <v>1.30389657610682</v>
      </c>
      <c r="L88" s="1190" t="n">
        <f aca="false">J88*K88</f>
        <v>1408.64478058325</v>
      </c>
      <c r="M88" s="1191" t="str">
        <f aca="false">IF(MONTH($A88)=12,SUM(L77:L88)," ")</f>
        <v> </v>
      </c>
    </row>
    <row r="89" customFormat="false" ht="12.75" hidden="false" customHeight="false" outlineLevel="0" collapsed="false">
      <c r="A89" s="1182" t="n">
        <f aca="false">EDATE(A88,1)</f>
        <v>39295</v>
      </c>
      <c r="C89" s="1183" t="n">
        <f aca="false">A90-A89</f>
        <v>31</v>
      </c>
      <c r="D89" s="1184" t="n">
        <f aca="false">IF($A89&gt;Endyr,0,IF($A89&lt;Assm!$F$32,G89,Capacity*C89))</f>
        <v>3192690</v>
      </c>
      <c r="E89" s="1185" t="n">
        <f aca="false">IF($A89&gt;Endyr,0,Tariff_Cap)</f>
        <v>0.3351</v>
      </c>
      <c r="F89" s="1186" t="n">
        <f aca="false">D89*E89/1000</f>
        <v>1069.870419</v>
      </c>
      <c r="G89" s="1187" t="n">
        <f aca="false">[4]MMBTU!R112</f>
        <v>2092866.048</v>
      </c>
      <c r="H89" s="1185" t="n">
        <f aca="false">IF($A89&gt;Endyr,0,Tariff_Var)</f>
        <v>0.005</v>
      </c>
      <c r="I89" s="1186" t="n">
        <f aca="false">G89*H89/1000</f>
        <v>10.46433024</v>
      </c>
      <c r="J89" s="1188" t="n">
        <f aca="false">SUM(F89,I89)</f>
        <v>1080.33474924</v>
      </c>
      <c r="K89" s="1189" t="n">
        <f aca="false">VLOOKUP($A89,Curves_Table,Escalation!$P$291)</f>
        <v>1.30389657610682</v>
      </c>
      <c r="L89" s="1190" t="n">
        <f aca="false">J89*K89</f>
        <v>1408.64478058325</v>
      </c>
      <c r="M89" s="1191" t="str">
        <f aca="false">IF(MONTH($A89)=12,SUM(L78:L89)," ")</f>
        <v> </v>
      </c>
    </row>
    <row r="90" customFormat="false" ht="12.75" hidden="false" customHeight="false" outlineLevel="0" collapsed="false">
      <c r="A90" s="1182" t="n">
        <f aca="false">EDATE(A89,1)</f>
        <v>39326</v>
      </c>
      <c r="C90" s="1183" t="n">
        <f aca="false">A91-A90</f>
        <v>30</v>
      </c>
      <c r="D90" s="1184" t="n">
        <f aca="false">IF($A90&gt;Endyr,0,IF($A90&lt;Assm!$F$32,G90,Capacity*C90))</f>
        <v>3089700</v>
      </c>
      <c r="E90" s="1185" t="n">
        <f aca="false">IF($A90&gt;Endyr,0,Tariff_Cap)</f>
        <v>0.3351</v>
      </c>
      <c r="F90" s="1186" t="n">
        <f aca="false">D90*E90/1000</f>
        <v>1035.35847</v>
      </c>
      <c r="G90" s="1187" t="n">
        <f aca="false">[4]MMBTU!R113</f>
        <v>2025354.24</v>
      </c>
      <c r="H90" s="1185" t="n">
        <f aca="false">IF($A90&gt;Endyr,0,Tariff_Var)</f>
        <v>0.005</v>
      </c>
      <c r="I90" s="1186" t="n">
        <f aca="false">G90*H90/1000</f>
        <v>10.1267712</v>
      </c>
      <c r="J90" s="1188" t="n">
        <f aca="false">SUM(F90,I90)</f>
        <v>1045.4852412</v>
      </c>
      <c r="K90" s="1189" t="n">
        <f aca="false">VLOOKUP($A90,Curves_Table,Escalation!$P$291)</f>
        <v>1.30389657610682</v>
      </c>
      <c r="L90" s="1190" t="n">
        <f aca="false">J90*K90</f>
        <v>1363.20462637089</v>
      </c>
      <c r="M90" s="1191" t="str">
        <f aca="false">IF(MONTH($A90)=12,SUM(L79:L90)," ")</f>
        <v> </v>
      </c>
    </row>
    <row r="91" customFormat="false" ht="12.75" hidden="false" customHeight="false" outlineLevel="0" collapsed="false">
      <c r="A91" s="1182" t="n">
        <f aca="false">EDATE(A90,1)</f>
        <v>39356</v>
      </c>
      <c r="C91" s="1183" t="n">
        <f aca="false">A92-A91</f>
        <v>31</v>
      </c>
      <c r="D91" s="1184" t="n">
        <f aca="false">IF($A91&gt;Endyr,0,IF($A91&lt;Assm!$F$32,G91,Capacity*C91))</f>
        <v>3192690</v>
      </c>
      <c r="E91" s="1185" t="n">
        <f aca="false">IF($A91&gt;Endyr,0,Tariff_Cap)</f>
        <v>0.3351</v>
      </c>
      <c r="F91" s="1186" t="n">
        <f aca="false">D91*E91/1000</f>
        <v>1069.870419</v>
      </c>
      <c r="G91" s="1187" t="n">
        <f aca="false">[4]MMBTU!R114</f>
        <v>2092866.048</v>
      </c>
      <c r="H91" s="1185" t="n">
        <f aca="false">IF($A91&gt;Endyr,0,Tariff_Var)</f>
        <v>0.005</v>
      </c>
      <c r="I91" s="1186" t="n">
        <f aca="false">G91*H91/1000</f>
        <v>10.46433024</v>
      </c>
      <c r="J91" s="1188" t="n">
        <f aca="false">SUM(F91,I91)</f>
        <v>1080.33474924</v>
      </c>
      <c r="K91" s="1189" t="n">
        <f aca="false">VLOOKUP($A91,Curves_Table,Escalation!$P$291)</f>
        <v>1.30389657610682</v>
      </c>
      <c r="L91" s="1190" t="n">
        <f aca="false">J91*K91</f>
        <v>1408.64478058325</v>
      </c>
      <c r="M91" s="1191" t="str">
        <f aca="false">IF(MONTH($A91)=12,SUM(L80:L91)," ")</f>
        <v> </v>
      </c>
    </row>
    <row r="92" customFormat="false" ht="12.75" hidden="false" customHeight="false" outlineLevel="0" collapsed="false">
      <c r="A92" s="1182" t="n">
        <f aca="false">EDATE(A91,1)</f>
        <v>39387</v>
      </c>
      <c r="C92" s="1183" t="n">
        <f aca="false">A93-A92</f>
        <v>30</v>
      </c>
      <c r="D92" s="1184" t="n">
        <f aca="false">IF($A92&gt;Endyr,0,IF($A92&lt;Assm!$F$32,G92,Capacity*C92))</f>
        <v>3089700</v>
      </c>
      <c r="E92" s="1185" t="n">
        <f aca="false">IF($A92&gt;Endyr,0,Tariff_Cap)</f>
        <v>0.3351</v>
      </c>
      <c r="F92" s="1186" t="n">
        <f aca="false">D92*E92/1000</f>
        <v>1035.35847</v>
      </c>
      <c r="G92" s="1187" t="n">
        <f aca="false">[4]MMBTU!R115</f>
        <v>2025354.24</v>
      </c>
      <c r="H92" s="1185" t="n">
        <f aca="false">IF($A92&gt;Endyr,0,Tariff_Var)</f>
        <v>0.005</v>
      </c>
      <c r="I92" s="1186" t="n">
        <f aca="false">G92*H92/1000</f>
        <v>10.1267712</v>
      </c>
      <c r="J92" s="1188" t="n">
        <f aca="false">SUM(F92,I92)</f>
        <v>1045.4852412</v>
      </c>
      <c r="K92" s="1189" t="n">
        <f aca="false">VLOOKUP($A92,Curves_Table,Escalation!$P$291)</f>
        <v>1.30389657610682</v>
      </c>
      <c r="L92" s="1190" t="n">
        <f aca="false">J92*K92</f>
        <v>1363.20462637089</v>
      </c>
      <c r="M92" s="1191" t="str">
        <f aca="false">IF(MONTH($A92)=12,SUM(L81:L92)," ")</f>
        <v> </v>
      </c>
    </row>
    <row r="93" customFormat="false" ht="12.75" hidden="false" customHeight="false" outlineLevel="0" collapsed="false">
      <c r="A93" s="1182" t="n">
        <f aca="false">EDATE(A92,1)</f>
        <v>39417</v>
      </c>
      <c r="C93" s="1183" t="n">
        <f aca="false">A94-A93</f>
        <v>31</v>
      </c>
      <c r="D93" s="1184" t="n">
        <f aca="false">IF($A93&gt;Endyr,0,IF($A93&lt;Assm!$F$32,G93,Capacity*C93))</f>
        <v>3192690</v>
      </c>
      <c r="E93" s="1185" t="n">
        <f aca="false">IF($A93&gt;Endyr,0,Tariff_Cap)</f>
        <v>0.3351</v>
      </c>
      <c r="F93" s="1186" t="n">
        <f aca="false">D93*E93/1000</f>
        <v>1069.870419</v>
      </c>
      <c r="G93" s="1187" t="n">
        <f aca="false">[4]MMBTU!R116</f>
        <v>2092866.048</v>
      </c>
      <c r="H93" s="1185" t="n">
        <f aca="false">IF($A93&gt;Endyr,0,Tariff_Var)</f>
        <v>0.005</v>
      </c>
      <c r="I93" s="1186" t="n">
        <f aca="false">G93*H93/1000</f>
        <v>10.46433024</v>
      </c>
      <c r="J93" s="1188" t="n">
        <f aca="false">SUM(F93,I93)</f>
        <v>1080.33474924</v>
      </c>
      <c r="K93" s="1189" t="n">
        <f aca="false">VLOOKUP($A93,Curves_Table,Escalation!$P$291)</f>
        <v>1.30389657610682</v>
      </c>
      <c r="L93" s="1190" t="n">
        <f aca="false">J93*K93</f>
        <v>1408.64478058325</v>
      </c>
      <c r="M93" s="1191" t="n">
        <f aca="false">IF(MONTH($A93)=12,SUM(L82:L93)," ")</f>
        <v>16440.5194342833</v>
      </c>
    </row>
    <row r="94" customFormat="false" ht="12.75" hidden="false" customHeight="false" outlineLevel="0" collapsed="false">
      <c r="A94" s="1182" t="n">
        <f aca="false">EDATE(A93,1)</f>
        <v>39448</v>
      </c>
      <c r="C94" s="1183" t="n">
        <f aca="false">A95-A94</f>
        <v>31</v>
      </c>
      <c r="D94" s="1184" t="n">
        <f aca="false">IF($A94&gt;Endyr,0,IF($A94&lt;Assm!$F$32,G94,Capacity*C94))</f>
        <v>3192690</v>
      </c>
      <c r="E94" s="1185" t="n">
        <f aca="false">IF($A94&gt;Endyr,0,Tariff_Cap)</f>
        <v>0.3351</v>
      </c>
      <c r="F94" s="1186" t="n">
        <f aca="false">D94*E94/1000</f>
        <v>1069.870419</v>
      </c>
      <c r="G94" s="1187" t="n">
        <f aca="false">[4]MMBTU!R117</f>
        <v>2092866.048</v>
      </c>
      <c r="H94" s="1185" t="n">
        <f aca="false">IF($A94&gt;Endyr,0,Tariff_Var)</f>
        <v>0.005</v>
      </c>
      <c r="I94" s="1186" t="n">
        <f aca="false">G94*H94/1000</f>
        <v>10.46433024</v>
      </c>
      <c r="J94" s="1188" t="n">
        <f aca="false">SUM(F94,I94)</f>
        <v>1080.33474924</v>
      </c>
      <c r="K94" s="1189" t="n">
        <f aca="false">VLOOKUP($A94,Curves_Table,Escalation!$P$291)</f>
        <v>1.30389657610682</v>
      </c>
      <c r="L94" s="1190" t="n">
        <f aca="false">J94*K94</f>
        <v>1408.64478058325</v>
      </c>
      <c r="M94" s="1191" t="str">
        <f aca="false">IF(MONTH($A94)=12,SUM(L83:L94)," ")</f>
        <v> </v>
      </c>
    </row>
    <row r="95" customFormat="false" ht="12.75" hidden="false" customHeight="false" outlineLevel="0" collapsed="false">
      <c r="A95" s="1182" t="n">
        <f aca="false">EDATE(A94,1)</f>
        <v>39479</v>
      </c>
      <c r="C95" s="1183" t="n">
        <f aca="false">A96-A95</f>
        <v>29</v>
      </c>
      <c r="D95" s="1184" t="n">
        <f aca="false">IF($A95&gt;Endyr,0,IF($A95&lt;Assm!$F$32,G95,Capacity*C95))</f>
        <v>2986710</v>
      </c>
      <c r="E95" s="1185" t="n">
        <f aca="false">IF($A95&gt;Endyr,0,Tariff_Cap)</f>
        <v>0.3351</v>
      </c>
      <c r="F95" s="1186" t="n">
        <f aca="false">D95*E95/1000</f>
        <v>1000.846521</v>
      </c>
      <c r="G95" s="1187" t="n">
        <f aca="false">[4]MMBTU!R118</f>
        <v>1957842.432</v>
      </c>
      <c r="H95" s="1185" t="n">
        <f aca="false">IF($A95&gt;Endyr,0,Tariff_Var)</f>
        <v>0.005</v>
      </c>
      <c r="I95" s="1186" t="n">
        <f aca="false">G95*H95/1000</f>
        <v>9.78921216</v>
      </c>
      <c r="J95" s="1188" t="n">
        <f aca="false">SUM(F95,I95)</f>
        <v>1010.63573316</v>
      </c>
      <c r="K95" s="1189" t="n">
        <f aca="false">VLOOKUP($A95,Curves_Table,Escalation!$P$291)</f>
        <v>1.30389657610682</v>
      </c>
      <c r="L95" s="1190" t="n">
        <f aca="false">J95*K95</f>
        <v>1317.76447215853</v>
      </c>
      <c r="M95" s="1191" t="str">
        <f aca="false">IF(MONTH($A95)=12,SUM(L84:L95)," ")</f>
        <v> </v>
      </c>
    </row>
    <row r="96" customFormat="false" ht="12.75" hidden="false" customHeight="false" outlineLevel="0" collapsed="false">
      <c r="A96" s="1182" t="n">
        <f aca="false">EDATE(A95,1)</f>
        <v>39508</v>
      </c>
      <c r="C96" s="1183" t="n">
        <f aca="false">A97-A96</f>
        <v>31</v>
      </c>
      <c r="D96" s="1184" t="n">
        <f aca="false">IF($A96&gt;Endyr,0,IF($A96&lt;Assm!$F$32,G96,Capacity*C96))</f>
        <v>3192690</v>
      </c>
      <c r="E96" s="1185" t="n">
        <f aca="false">IF($A96&gt;Endyr,0,Tariff_Cap)</f>
        <v>0.3351</v>
      </c>
      <c r="F96" s="1186" t="n">
        <f aca="false">D96*E96/1000</f>
        <v>1069.870419</v>
      </c>
      <c r="G96" s="1187" t="n">
        <f aca="false">[4]MMBTU!R119</f>
        <v>2092866.048</v>
      </c>
      <c r="H96" s="1185" t="n">
        <f aca="false">IF($A96&gt;Endyr,0,Tariff_Var)</f>
        <v>0.005</v>
      </c>
      <c r="I96" s="1186" t="n">
        <f aca="false">G96*H96/1000</f>
        <v>10.46433024</v>
      </c>
      <c r="J96" s="1188" t="n">
        <f aca="false">SUM(F96,I96)</f>
        <v>1080.33474924</v>
      </c>
      <c r="K96" s="1189" t="n">
        <f aca="false">VLOOKUP($A96,Curves_Table,Escalation!$P$291)</f>
        <v>1.30389657610682</v>
      </c>
      <c r="L96" s="1190" t="n">
        <f aca="false">J96*K96</f>
        <v>1408.64478058325</v>
      </c>
      <c r="M96" s="1191" t="str">
        <f aca="false">IF(MONTH($A96)=12,SUM(L85:L96)," ")</f>
        <v> </v>
      </c>
    </row>
    <row r="97" customFormat="false" ht="12.75" hidden="false" customHeight="false" outlineLevel="0" collapsed="false">
      <c r="A97" s="1182" t="n">
        <f aca="false">EDATE(A96,1)</f>
        <v>39539</v>
      </c>
      <c r="C97" s="1183" t="n">
        <f aca="false">A98-A97</f>
        <v>30</v>
      </c>
      <c r="D97" s="1184" t="n">
        <f aca="false">IF($A97&gt;Endyr,0,IF($A97&lt;Assm!$F$32,G97,Capacity*C97))</f>
        <v>3089700</v>
      </c>
      <c r="E97" s="1185" t="n">
        <f aca="false">IF($A97&gt;Endyr,0,Tariff_Cap)</f>
        <v>0.3351</v>
      </c>
      <c r="F97" s="1186" t="n">
        <f aca="false">D97*E97/1000</f>
        <v>1035.35847</v>
      </c>
      <c r="G97" s="1187" t="n">
        <f aca="false">[4]MMBTU!R120</f>
        <v>2025354.24</v>
      </c>
      <c r="H97" s="1185" t="n">
        <f aca="false">IF($A97&gt;Endyr,0,Tariff_Var)</f>
        <v>0.005</v>
      </c>
      <c r="I97" s="1186" t="n">
        <f aca="false">G97*H97/1000</f>
        <v>10.1267712</v>
      </c>
      <c r="J97" s="1188" t="n">
        <f aca="false">SUM(F97,I97)</f>
        <v>1045.4852412</v>
      </c>
      <c r="K97" s="1189" t="n">
        <f aca="false">VLOOKUP($A97,Curves_Table,Escalation!$P$291)</f>
        <v>1.30389657610682</v>
      </c>
      <c r="L97" s="1190" t="n">
        <f aca="false">J97*K97</f>
        <v>1363.20462637089</v>
      </c>
      <c r="M97" s="1191" t="str">
        <f aca="false">IF(MONTH($A97)=12,SUM(L86:L97)," ")</f>
        <v> </v>
      </c>
    </row>
    <row r="98" customFormat="false" ht="12.75" hidden="false" customHeight="false" outlineLevel="0" collapsed="false">
      <c r="A98" s="1182" t="n">
        <f aca="false">EDATE(A97,1)</f>
        <v>39569</v>
      </c>
      <c r="C98" s="1183" t="n">
        <f aca="false">A99-A98</f>
        <v>31</v>
      </c>
      <c r="D98" s="1184" t="n">
        <f aca="false">IF($A98&gt;Endyr,0,IF($A98&lt;Assm!$F$32,G98,Capacity*C98))</f>
        <v>3192690</v>
      </c>
      <c r="E98" s="1185" t="n">
        <f aca="false">IF($A98&gt;Endyr,0,Tariff_Cap)</f>
        <v>0.3351</v>
      </c>
      <c r="F98" s="1186" t="n">
        <f aca="false">D98*E98/1000</f>
        <v>1069.870419</v>
      </c>
      <c r="G98" s="1187" t="n">
        <f aca="false">[4]MMBTU!R121</f>
        <v>2092866.048</v>
      </c>
      <c r="H98" s="1185" t="n">
        <f aca="false">IF($A98&gt;Endyr,0,Tariff_Var)</f>
        <v>0.005</v>
      </c>
      <c r="I98" s="1186" t="n">
        <f aca="false">G98*H98/1000</f>
        <v>10.46433024</v>
      </c>
      <c r="J98" s="1188" t="n">
        <f aca="false">SUM(F98,I98)</f>
        <v>1080.33474924</v>
      </c>
      <c r="K98" s="1189" t="n">
        <f aca="false">VLOOKUP($A98,Curves_Table,Escalation!$P$291)</f>
        <v>1.33877978058913</v>
      </c>
      <c r="L98" s="1190" t="n">
        <f aca="false">J98*K98</f>
        <v>1446.33031855034</v>
      </c>
      <c r="M98" s="1191" t="str">
        <f aca="false">IF(MONTH($A98)=12,SUM(L87:L98)," ")</f>
        <v> </v>
      </c>
    </row>
    <row r="99" customFormat="false" ht="12.75" hidden="false" customHeight="false" outlineLevel="0" collapsed="false">
      <c r="A99" s="1182" t="n">
        <f aca="false">EDATE(A98,1)</f>
        <v>39600</v>
      </c>
      <c r="C99" s="1183" t="n">
        <f aca="false">A100-A99</f>
        <v>30</v>
      </c>
      <c r="D99" s="1184" t="n">
        <f aca="false">IF($A99&gt;Endyr,0,IF($A99&lt;Assm!$F$32,G99,Capacity*C99))</f>
        <v>3089700</v>
      </c>
      <c r="E99" s="1185" t="n">
        <f aca="false">IF($A99&gt;Endyr,0,Tariff_Cap)</f>
        <v>0.3351</v>
      </c>
      <c r="F99" s="1186" t="n">
        <f aca="false">D99*E99/1000</f>
        <v>1035.35847</v>
      </c>
      <c r="G99" s="1187" t="n">
        <f aca="false">[4]MMBTU!R122</f>
        <v>2025354.24</v>
      </c>
      <c r="H99" s="1185" t="n">
        <f aca="false">IF($A99&gt;Endyr,0,Tariff_Var)</f>
        <v>0.005</v>
      </c>
      <c r="I99" s="1186" t="n">
        <f aca="false">G99*H99/1000</f>
        <v>10.1267712</v>
      </c>
      <c r="J99" s="1188" t="n">
        <f aca="false">SUM(F99,I99)</f>
        <v>1045.4852412</v>
      </c>
      <c r="K99" s="1189" t="n">
        <f aca="false">VLOOKUP($A99,Curves_Table,Escalation!$P$291)</f>
        <v>1.33877978058913</v>
      </c>
      <c r="L99" s="1190" t="n">
        <f aca="false">J99*K99</f>
        <v>1399.67450182291</v>
      </c>
      <c r="M99" s="1191" t="str">
        <f aca="false">IF(MONTH($A99)=12,SUM(L88:L99)," ")</f>
        <v> </v>
      </c>
    </row>
    <row r="100" customFormat="false" ht="12.75" hidden="false" customHeight="false" outlineLevel="0" collapsed="false">
      <c r="A100" s="1182" t="n">
        <f aca="false">EDATE(A99,1)</f>
        <v>39630</v>
      </c>
      <c r="C100" s="1183" t="n">
        <f aca="false">A101-A100</f>
        <v>31</v>
      </c>
      <c r="D100" s="1184" t="n">
        <f aca="false">IF($A100&gt;Endyr,0,IF($A100&lt;Assm!$F$32,G100,Capacity*C100))</f>
        <v>3192690</v>
      </c>
      <c r="E100" s="1185" t="n">
        <f aca="false">IF($A100&gt;Endyr,0,Tariff_Cap)</f>
        <v>0.3351</v>
      </c>
      <c r="F100" s="1186" t="n">
        <f aca="false">D100*E100/1000</f>
        <v>1069.870419</v>
      </c>
      <c r="G100" s="1187" t="n">
        <f aca="false">[4]MMBTU!R123</f>
        <v>2092866.048</v>
      </c>
      <c r="H100" s="1185" t="n">
        <f aca="false">IF($A100&gt;Endyr,0,Tariff_Var)</f>
        <v>0.005</v>
      </c>
      <c r="I100" s="1186" t="n">
        <f aca="false">G100*H100/1000</f>
        <v>10.46433024</v>
      </c>
      <c r="J100" s="1188" t="n">
        <f aca="false">SUM(F100,I100)</f>
        <v>1080.33474924</v>
      </c>
      <c r="K100" s="1189" t="n">
        <f aca="false">VLOOKUP($A100,Curves_Table,Escalation!$P$291)</f>
        <v>1.33877978058913</v>
      </c>
      <c r="L100" s="1190" t="n">
        <f aca="false">J100*K100</f>
        <v>1446.33031855034</v>
      </c>
      <c r="M100" s="1191" t="str">
        <f aca="false">IF(MONTH($A100)=12,SUM(L89:L100)," ")</f>
        <v> </v>
      </c>
    </row>
    <row r="101" customFormat="false" ht="12.75" hidden="false" customHeight="false" outlineLevel="0" collapsed="false">
      <c r="A101" s="1182" t="n">
        <f aca="false">EDATE(A100,1)</f>
        <v>39661</v>
      </c>
      <c r="C101" s="1183" t="n">
        <f aca="false">A102-A101</f>
        <v>31</v>
      </c>
      <c r="D101" s="1184" t="n">
        <f aca="false">IF($A101&gt;Endyr,0,IF($A101&lt;Assm!$F$32,G101,Capacity*C101))</f>
        <v>3192690</v>
      </c>
      <c r="E101" s="1185" t="n">
        <f aca="false">IF($A101&gt;Endyr,0,Tariff_Cap)</f>
        <v>0.3351</v>
      </c>
      <c r="F101" s="1186" t="n">
        <f aca="false">D101*E101/1000</f>
        <v>1069.870419</v>
      </c>
      <c r="G101" s="1187" t="n">
        <f aca="false">[4]MMBTU!R124</f>
        <v>2092866.048</v>
      </c>
      <c r="H101" s="1185" t="n">
        <f aca="false">IF($A101&gt;Endyr,0,Tariff_Var)</f>
        <v>0.005</v>
      </c>
      <c r="I101" s="1186" t="n">
        <f aca="false">G101*H101/1000</f>
        <v>10.46433024</v>
      </c>
      <c r="J101" s="1188" t="n">
        <f aca="false">SUM(F101,I101)</f>
        <v>1080.33474924</v>
      </c>
      <c r="K101" s="1189" t="n">
        <f aca="false">VLOOKUP($A101,Curves_Table,Escalation!$P$291)</f>
        <v>1.33877978058913</v>
      </c>
      <c r="L101" s="1190" t="n">
        <f aca="false">J101*K101</f>
        <v>1446.33031855034</v>
      </c>
      <c r="M101" s="1191" t="str">
        <f aca="false">IF(MONTH($A101)=12,SUM(L90:L101)," ")</f>
        <v> </v>
      </c>
    </row>
    <row r="102" customFormat="false" ht="12.75" hidden="false" customHeight="false" outlineLevel="0" collapsed="false">
      <c r="A102" s="1182" t="n">
        <f aca="false">EDATE(A101,1)</f>
        <v>39692</v>
      </c>
      <c r="C102" s="1183" t="n">
        <f aca="false">A103-A102</f>
        <v>30</v>
      </c>
      <c r="D102" s="1184" t="n">
        <f aca="false">IF($A102&gt;Endyr,0,IF($A102&lt;Assm!$F$32,G102,Capacity*C102))</f>
        <v>3089700</v>
      </c>
      <c r="E102" s="1185" t="n">
        <f aca="false">IF($A102&gt;Endyr,0,Tariff_Cap)</f>
        <v>0.3351</v>
      </c>
      <c r="F102" s="1186" t="n">
        <f aca="false">D102*E102/1000</f>
        <v>1035.35847</v>
      </c>
      <c r="G102" s="1187" t="n">
        <f aca="false">[4]MMBTU!R125</f>
        <v>2025354.24</v>
      </c>
      <c r="H102" s="1185" t="n">
        <f aca="false">IF($A102&gt;Endyr,0,Tariff_Var)</f>
        <v>0.005</v>
      </c>
      <c r="I102" s="1186" t="n">
        <f aca="false">G102*H102/1000</f>
        <v>10.1267712</v>
      </c>
      <c r="J102" s="1188" t="n">
        <f aca="false">SUM(F102,I102)</f>
        <v>1045.4852412</v>
      </c>
      <c r="K102" s="1189" t="n">
        <f aca="false">VLOOKUP($A102,Curves_Table,Escalation!$P$291)</f>
        <v>1.33877978058913</v>
      </c>
      <c r="L102" s="1190" t="n">
        <f aca="false">J102*K102</f>
        <v>1399.67450182291</v>
      </c>
      <c r="M102" s="1191" t="str">
        <f aca="false">IF(MONTH($A102)=12,SUM(L91:L102)," ")</f>
        <v> </v>
      </c>
    </row>
    <row r="103" customFormat="false" ht="12.75" hidden="false" customHeight="false" outlineLevel="0" collapsed="false">
      <c r="A103" s="1182" t="n">
        <f aca="false">EDATE(A102,1)</f>
        <v>39722</v>
      </c>
      <c r="C103" s="1183" t="n">
        <f aca="false">A104-A103</f>
        <v>31</v>
      </c>
      <c r="D103" s="1184" t="n">
        <f aca="false">IF($A103&gt;Endyr,0,IF($A103&lt;Assm!$F$32,G103,Capacity*C103))</f>
        <v>3192690</v>
      </c>
      <c r="E103" s="1185" t="n">
        <f aca="false">IF($A103&gt;Endyr,0,Tariff_Cap)</f>
        <v>0.3351</v>
      </c>
      <c r="F103" s="1186" t="n">
        <f aca="false">D103*E103/1000</f>
        <v>1069.870419</v>
      </c>
      <c r="G103" s="1187" t="n">
        <f aca="false">[4]MMBTU!R126</f>
        <v>2092866.048</v>
      </c>
      <c r="H103" s="1185" t="n">
        <f aca="false">IF($A103&gt;Endyr,0,Tariff_Var)</f>
        <v>0.005</v>
      </c>
      <c r="I103" s="1186" t="n">
        <f aca="false">G103*H103/1000</f>
        <v>10.46433024</v>
      </c>
      <c r="J103" s="1188" t="n">
        <f aca="false">SUM(F103,I103)</f>
        <v>1080.33474924</v>
      </c>
      <c r="K103" s="1189" t="n">
        <f aca="false">VLOOKUP($A103,Curves_Table,Escalation!$P$291)</f>
        <v>1.33877978058913</v>
      </c>
      <c r="L103" s="1190" t="n">
        <f aca="false">J103*K103</f>
        <v>1446.33031855034</v>
      </c>
      <c r="M103" s="1191" t="str">
        <f aca="false">IF(MONTH($A103)=12,SUM(L92:L103)," ")</f>
        <v> </v>
      </c>
    </row>
    <row r="104" customFormat="false" ht="12.75" hidden="false" customHeight="false" outlineLevel="0" collapsed="false">
      <c r="A104" s="1182" t="n">
        <f aca="false">EDATE(A103,1)</f>
        <v>39753</v>
      </c>
      <c r="C104" s="1183" t="n">
        <f aca="false">A105-A104</f>
        <v>30</v>
      </c>
      <c r="D104" s="1184" t="n">
        <f aca="false">IF($A104&gt;Endyr,0,IF($A104&lt;Assm!$F$32,G104,Capacity*C104))</f>
        <v>3089700</v>
      </c>
      <c r="E104" s="1185" t="n">
        <f aca="false">IF($A104&gt;Endyr,0,Tariff_Cap)</f>
        <v>0.3351</v>
      </c>
      <c r="F104" s="1186" t="n">
        <f aca="false">D104*E104/1000</f>
        <v>1035.35847</v>
      </c>
      <c r="G104" s="1187" t="n">
        <f aca="false">[4]MMBTU!R127</f>
        <v>2025354.24</v>
      </c>
      <c r="H104" s="1185" t="n">
        <f aca="false">IF($A104&gt;Endyr,0,Tariff_Var)</f>
        <v>0.005</v>
      </c>
      <c r="I104" s="1186" t="n">
        <f aca="false">G104*H104/1000</f>
        <v>10.1267712</v>
      </c>
      <c r="J104" s="1188" t="n">
        <f aca="false">SUM(F104,I104)</f>
        <v>1045.4852412</v>
      </c>
      <c r="K104" s="1189" t="n">
        <f aca="false">VLOOKUP($A104,Curves_Table,Escalation!$P$291)</f>
        <v>1.33877978058913</v>
      </c>
      <c r="L104" s="1190" t="n">
        <f aca="false">J104*K104</f>
        <v>1399.67450182291</v>
      </c>
      <c r="M104" s="1191" t="str">
        <f aca="false">IF(MONTH($A104)=12,SUM(L93:L104)," ")</f>
        <v> </v>
      </c>
    </row>
    <row r="105" customFormat="false" ht="12.75" hidden="false" customHeight="false" outlineLevel="0" collapsed="false">
      <c r="A105" s="1182" t="n">
        <f aca="false">EDATE(A104,1)</f>
        <v>39783</v>
      </c>
      <c r="C105" s="1183" t="n">
        <f aca="false">A106-A105</f>
        <v>31</v>
      </c>
      <c r="D105" s="1184" t="n">
        <f aca="false">IF($A105&gt;Endyr,0,IF($A105&lt;Assm!$F$32,G105,Capacity*C105))</f>
        <v>3192690</v>
      </c>
      <c r="E105" s="1185" t="n">
        <f aca="false">IF($A105&gt;Endyr,0,Tariff_Cap)</f>
        <v>0.3351</v>
      </c>
      <c r="F105" s="1186" t="n">
        <f aca="false">D105*E105/1000</f>
        <v>1069.870419</v>
      </c>
      <c r="G105" s="1187" t="n">
        <f aca="false">[4]MMBTU!R128</f>
        <v>2092866.048</v>
      </c>
      <c r="H105" s="1185" t="n">
        <f aca="false">IF($A105&gt;Endyr,0,Tariff_Var)</f>
        <v>0.005</v>
      </c>
      <c r="I105" s="1186" t="n">
        <f aca="false">G105*H105/1000</f>
        <v>10.46433024</v>
      </c>
      <c r="J105" s="1188" t="n">
        <f aca="false">SUM(F105,I105)</f>
        <v>1080.33474924</v>
      </c>
      <c r="K105" s="1189" t="n">
        <f aca="false">VLOOKUP($A105,Curves_Table,Escalation!$P$291)</f>
        <v>1.33877978058913</v>
      </c>
      <c r="L105" s="1190" t="n">
        <f aca="false">J105*K105</f>
        <v>1446.33031855034</v>
      </c>
      <c r="M105" s="1191" t="n">
        <f aca="false">IF(MONTH($A105)=12,SUM(L94:L105)," ")</f>
        <v>16928.9337579163</v>
      </c>
    </row>
    <row r="106" customFormat="false" ht="12.75" hidden="false" customHeight="false" outlineLevel="0" collapsed="false">
      <c r="A106" s="1182" t="n">
        <f aca="false">EDATE(A105,1)</f>
        <v>39814</v>
      </c>
      <c r="C106" s="1183" t="n">
        <f aca="false">A107-A106</f>
        <v>31</v>
      </c>
      <c r="D106" s="1184" t="n">
        <f aca="false">IF($A106&gt;Endyr,0,IF($A106&lt;Assm!$F$32,G106,Capacity*C106))</f>
        <v>3192690</v>
      </c>
      <c r="E106" s="1185" t="n">
        <f aca="false">IF($A106&gt;Endyr,0,Tariff_Cap)</f>
        <v>0.3351</v>
      </c>
      <c r="F106" s="1186" t="n">
        <f aca="false">D106*E106/1000</f>
        <v>1069.870419</v>
      </c>
      <c r="G106" s="1187" t="n">
        <f aca="false">[4]MMBTU!R129</f>
        <v>2092866.048</v>
      </c>
      <c r="H106" s="1185" t="n">
        <f aca="false">IF($A106&gt;Endyr,0,Tariff_Var)</f>
        <v>0.005</v>
      </c>
      <c r="I106" s="1186" t="n">
        <f aca="false">G106*H106/1000</f>
        <v>10.46433024</v>
      </c>
      <c r="J106" s="1188" t="n">
        <f aca="false">SUM(F106,I106)</f>
        <v>1080.33474924</v>
      </c>
      <c r="K106" s="1189" t="n">
        <f aca="false">VLOOKUP($A106,Curves_Table,Escalation!$P$291)</f>
        <v>1.33877978058913</v>
      </c>
      <c r="L106" s="1190" t="n">
        <f aca="false">J106*K106</f>
        <v>1446.33031855034</v>
      </c>
      <c r="M106" s="1191" t="str">
        <f aca="false">IF(MONTH($A106)=12,SUM(L95:L106)," ")</f>
        <v> </v>
      </c>
    </row>
    <row r="107" customFormat="false" ht="12.75" hidden="false" customHeight="false" outlineLevel="0" collapsed="false">
      <c r="A107" s="1182" t="n">
        <f aca="false">EDATE(A106,1)</f>
        <v>39845</v>
      </c>
      <c r="C107" s="1183" t="n">
        <f aca="false">A108-A107</f>
        <v>28</v>
      </c>
      <c r="D107" s="1184" t="n">
        <f aca="false">IF($A107&gt;Endyr,0,IF($A107&lt;Assm!$F$32,G107,Capacity*C107))</f>
        <v>2883720</v>
      </c>
      <c r="E107" s="1185" t="n">
        <f aca="false">IF($A107&gt;Endyr,0,Tariff_Cap)</f>
        <v>0.3351</v>
      </c>
      <c r="F107" s="1186" t="n">
        <f aca="false">D107*E107/1000</f>
        <v>966.334572</v>
      </c>
      <c r="G107" s="1187" t="n">
        <f aca="false">[4]MMBTU!R130</f>
        <v>1890330.624</v>
      </c>
      <c r="H107" s="1185" t="n">
        <f aca="false">IF($A107&gt;Endyr,0,Tariff_Var)</f>
        <v>0.005</v>
      </c>
      <c r="I107" s="1186" t="n">
        <f aca="false">G107*H107/1000</f>
        <v>9.45165312</v>
      </c>
      <c r="J107" s="1188" t="n">
        <f aca="false">SUM(F107,I107)</f>
        <v>975.78622512</v>
      </c>
      <c r="K107" s="1189" t="n">
        <f aca="false">VLOOKUP($A107,Curves_Table,Escalation!$P$291)</f>
        <v>1.33877978058913</v>
      </c>
      <c r="L107" s="1190" t="n">
        <f aca="false">J107*K107</f>
        <v>1306.36286836805</v>
      </c>
      <c r="M107" s="1191" t="str">
        <f aca="false">IF(MONTH($A107)=12,SUM(L96:L107)," ")</f>
        <v> </v>
      </c>
    </row>
    <row r="108" customFormat="false" ht="12.75" hidden="false" customHeight="false" outlineLevel="0" collapsed="false">
      <c r="A108" s="1182" t="n">
        <f aca="false">EDATE(A107,1)</f>
        <v>39873</v>
      </c>
      <c r="C108" s="1183" t="n">
        <f aca="false">A109-A108</f>
        <v>31</v>
      </c>
      <c r="D108" s="1184" t="n">
        <f aca="false">IF($A108&gt;Endyr,0,IF($A108&lt;Assm!$F$32,G108,Capacity*C108))</f>
        <v>3192690</v>
      </c>
      <c r="E108" s="1185" t="n">
        <f aca="false">IF($A108&gt;Endyr,0,Tariff_Cap)</f>
        <v>0.3351</v>
      </c>
      <c r="F108" s="1186" t="n">
        <f aca="false">D108*E108/1000</f>
        <v>1069.870419</v>
      </c>
      <c r="G108" s="1187" t="n">
        <f aca="false">[4]MMBTU!R131</f>
        <v>2092866.048</v>
      </c>
      <c r="H108" s="1185" t="n">
        <f aca="false">IF($A108&gt;Endyr,0,Tariff_Var)</f>
        <v>0.005</v>
      </c>
      <c r="I108" s="1186" t="n">
        <f aca="false">G108*H108/1000</f>
        <v>10.46433024</v>
      </c>
      <c r="J108" s="1188" t="n">
        <f aca="false">SUM(F108,I108)</f>
        <v>1080.33474924</v>
      </c>
      <c r="K108" s="1189" t="n">
        <f aca="false">VLOOKUP($A108,Curves_Table,Escalation!$P$291)</f>
        <v>1.33877978058913</v>
      </c>
      <c r="L108" s="1190" t="n">
        <f aca="false">J108*K108</f>
        <v>1446.33031855034</v>
      </c>
      <c r="M108" s="1191" t="str">
        <f aca="false">IF(MONTH($A108)=12,SUM(L97:L108)," ")</f>
        <v> </v>
      </c>
    </row>
    <row r="109" customFormat="false" ht="12.75" hidden="false" customHeight="false" outlineLevel="0" collapsed="false">
      <c r="A109" s="1182" t="n">
        <f aca="false">EDATE(A108,1)</f>
        <v>39904</v>
      </c>
      <c r="C109" s="1183" t="n">
        <f aca="false">A110-A109</f>
        <v>30</v>
      </c>
      <c r="D109" s="1184" t="n">
        <f aca="false">IF($A109&gt;Endyr,0,IF($A109&lt;Assm!$F$32,G109,Capacity*C109))</f>
        <v>3089700</v>
      </c>
      <c r="E109" s="1185" t="n">
        <f aca="false">IF($A109&gt;Endyr,0,Tariff_Cap)</f>
        <v>0.3351</v>
      </c>
      <c r="F109" s="1186" t="n">
        <f aca="false">D109*E109/1000</f>
        <v>1035.35847</v>
      </c>
      <c r="G109" s="1187" t="n">
        <f aca="false">[4]MMBTU!R132</f>
        <v>2025354.24</v>
      </c>
      <c r="H109" s="1185" t="n">
        <f aca="false">IF($A109&gt;Endyr,0,Tariff_Var)</f>
        <v>0.005</v>
      </c>
      <c r="I109" s="1186" t="n">
        <f aca="false">G109*H109/1000</f>
        <v>10.1267712</v>
      </c>
      <c r="J109" s="1188" t="n">
        <f aca="false">SUM(F109,I109)</f>
        <v>1045.4852412</v>
      </c>
      <c r="K109" s="1189" t="n">
        <f aca="false">VLOOKUP($A109,Curves_Table,Escalation!$P$291)</f>
        <v>1.33877978058913</v>
      </c>
      <c r="L109" s="1190" t="n">
        <f aca="false">J109*K109</f>
        <v>1399.67450182291</v>
      </c>
      <c r="M109" s="1191" t="str">
        <f aca="false">IF(MONTH($A109)=12,SUM(L98:L109)," ")</f>
        <v> </v>
      </c>
    </row>
    <row r="110" customFormat="false" ht="12.75" hidden="false" customHeight="false" outlineLevel="0" collapsed="false">
      <c r="A110" s="1182" t="n">
        <f aca="false">EDATE(A109,1)</f>
        <v>39934</v>
      </c>
      <c r="C110" s="1183" t="n">
        <f aca="false">A111-A110</f>
        <v>31</v>
      </c>
      <c r="D110" s="1184" t="n">
        <f aca="false">IF($A110&gt;Endyr,0,IF($A110&lt;Assm!$F$32,G110,Capacity*C110))</f>
        <v>3192690</v>
      </c>
      <c r="E110" s="1185" t="n">
        <f aca="false">IF($A110&gt;Endyr,0,Tariff_Cap)</f>
        <v>0.3351</v>
      </c>
      <c r="F110" s="1186" t="n">
        <f aca="false">D110*E110/1000</f>
        <v>1069.870419</v>
      </c>
      <c r="G110" s="1187" t="n">
        <f aca="false">[4]MMBTU!R133</f>
        <v>2092866.048</v>
      </c>
      <c r="H110" s="1185" t="n">
        <f aca="false">IF($A110&gt;Endyr,0,Tariff_Var)</f>
        <v>0.005</v>
      </c>
      <c r="I110" s="1186" t="n">
        <f aca="false">G110*H110/1000</f>
        <v>10.46433024</v>
      </c>
      <c r="J110" s="1188" t="n">
        <f aca="false">SUM(F110,I110)</f>
        <v>1080.33474924</v>
      </c>
      <c r="K110" s="1189" t="n">
        <f aca="false">VLOOKUP($A110,Curves_Table,Escalation!$P$291)</f>
        <v>1.37395101449367</v>
      </c>
      <c r="L110" s="1190" t="n">
        <f aca="false">J110*K110</f>
        <v>1484.32702471106</v>
      </c>
      <c r="M110" s="1191" t="str">
        <f aca="false">IF(MONTH($A110)=12,SUM(L99:L110)," ")</f>
        <v> </v>
      </c>
    </row>
    <row r="111" customFormat="false" ht="12.75" hidden="false" customHeight="false" outlineLevel="0" collapsed="false">
      <c r="A111" s="1182" t="n">
        <f aca="false">EDATE(A110,1)</f>
        <v>39965</v>
      </c>
      <c r="C111" s="1183" t="n">
        <f aca="false">A112-A111</f>
        <v>30</v>
      </c>
      <c r="D111" s="1184" t="n">
        <f aca="false">IF($A111&gt;Endyr,0,IF($A111&lt;Assm!$F$32,G111,Capacity*C111))</f>
        <v>3089700</v>
      </c>
      <c r="E111" s="1185" t="n">
        <f aca="false">IF($A111&gt;Endyr,0,Tariff_Cap)</f>
        <v>0.3351</v>
      </c>
      <c r="F111" s="1186" t="n">
        <f aca="false">D111*E111/1000</f>
        <v>1035.35847</v>
      </c>
      <c r="G111" s="1187" t="n">
        <f aca="false">[4]MMBTU!R134</f>
        <v>2025354.24</v>
      </c>
      <c r="H111" s="1185" t="n">
        <f aca="false">IF($A111&gt;Endyr,0,Tariff_Var)</f>
        <v>0.005</v>
      </c>
      <c r="I111" s="1186" t="n">
        <f aca="false">G111*H111/1000</f>
        <v>10.1267712</v>
      </c>
      <c r="J111" s="1188" t="n">
        <f aca="false">SUM(F111,I111)</f>
        <v>1045.4852412</v>
      </c>
      <c r="K111" s="1189" t="n">
        <f aca="false">VLOOKUP($A111,Curves_Table,Escalation!$P$291)</f>
        <v>1.37395101449367</v>
      </c>
      <c r="L111" s="1190" t="n">
        <f aca="false">J111*K111</f>
        <v>1436.4455077849</v>
      </c>
      <c r="M111" s="1191" t="str">
        <f aca="false">IF(MONTH($A111)=12,SUM(L100:L111)," ")</f>
        <v> </v>
      </c>
    </row>
    <row r="112" customFormat="false" ht="12.75" hidden="false" customHeight="false" outlineLevel="0" collapsed="false">
      <c r="A112" s="1182" t="n">
        <f aca="false">EDATE(A111,1)</f>
        <v>39995</v>
      </c>
      <c r="C112" s="1183" t="n">
        <f aca="false">A113-A112</f>
        <v>31</v>
      </c>
      <c r="D112" s="1184" t="n">
        <f aca="false">IF($A112&gt;Endyr,0,IF($A112&lt;Assm!$F$32,G112,Capacity*C112))</f>
        <v>3192690</v>
      </c>
      <c r="E112" s="1185" t="n">
        <f aca="false">IF($A112&gt;Endyr,0,Tariff_Cap)</f>
        <v>0.3351</v>
      </c>
      <c r="F112" s="1186" t="n">
        <f aca="false">D112*E112/1000</f>
        <v>1069.870419</v>
      </c>
      <c r="G112" s="1187" t="n">
        <f aca="false">[4]MMBTU!R135</f>
        <v>2092866.048</v>
      </c>
      <c r="H112" s="1185" t="n">
        <f aca="false">IF($A112&gt;Endyr,0,Tariff_Var)</f>
        <v>0.005</v>
      </c>
      <c r="I112" s="1186" t="n">
        <f aca="false">G112*H112/1000</f>
        <v>10.46433024</v>
      </c>
      <c r="J112" s="1188" t="n">
        <f aca="false">SUM(F112,I112)</f>
        <v>1080.33474924</v>
      </c>
      <c r="K112" s="1189" t="n">
        <f aca="false">VLOOKUP($A112,Curves_Table,Escalation!$P$291)</f>
        <v>1.37395101449367</v>
      </c>
      <c r="L112" s="1190" t="n">
        <f aca="false">J112*K112</f>
        <v>1484.32702471106</v>
      </c>
      <c r="M112" s="1191" t="str">
        <f aca="false">IF(MONTH($A112)=12,SUM(L101:L112)," ")</f>
        <v> </v>
      </c>
    </row>
    <row r="113" customFormat="false" ht="12.75" hidden="false" customHeight="false" outlineLevel="0" collapsed="false">
      <c r="A113" s="1182" t="n">
        <f aca="false">EDATE(A112,1)</f>
        <v>40026</v>
      </c>
      <c r="C113" s="1183" t="n">
        <f aca="false">A114-A113</f>
        <v>31</v>
      </c>
      <c r="D113" s="1184" t="n">
        <f aca="false">IF($A113&gt;Endyr,0,IF($A113&lt;Assm!$F$32,G113,Capacity*C113))</f>
        <v>3192690</v>
      </c>
      <c r="E113" s="1185" t="n">
        <f aca="false">IF($A113&gt;Endyr,0,Tariff_Cap)</f>
        <v>0.3351</v>
      </c>
      <c r="F113" s="1186" t="n">
        <f aca="false">D113*E113/1000</f>
        <v>1069.870419</v>
      </c>
      <c r="G113" s="1187" t="n">
        <f aca="false">[4]MMBTU!R136</f>
        <v>2092866.048</v>
      </c>
      <c r="H113" s="1185" t="n">
        <f aca="false">IF($A113&gt;Endyr,0,Tariff_Var)</f>
        <v>0.005</v>
      </c>
      <c r="I113" s="1186" t="n">
        <f aca="false">G113*H113/1000</f>
        <v>10.46433024</v>
      </c>
      <c r="J113" s="1188" t="n">
        <f aca="false">SUM(F113,I113)</f>
        <v>1080.33474924</v>
      </c>
      <c r="K113" s="1189" t="n">
        <f aca="false">VLOOKUP($A113,Curves_Table,Escalation!$P$291)</f>
        <v>1.37395101449367</v>
      </c>
      <c r="L113" s="1190" t="n">
        <f aca="false">J113*K113</f>
        <v>1484.32702471106</v>
      </c>
      <c r="M113" s="1191" t="str">
        <f aca="false">IF(MONTH($A113)=12,SUM(L102:L113)," ")</f>
        <v> </v>
      </c>
    </row>
    <row r="114" customFormat="false" ht="12.75" hidden="false" customHeight="false" outlineLevel="0" collapsed="false">
      <c r="A114" s="1182" t="n">
        <f aca="false">EDATE(A113,1)</f>
        <v>40057</v>
      </c>
      <c r="C114" s="1183" t="n">
        <f aca="false">A115-A114</f>
        <v>30</v>
      </c>
      <c r="D114" s="1184" t="n">
        <f aca="false">IF($A114&gt;Endyr,0,IF($A114&lt;Assm!$F$32,G114,Capacity*C114))</f>
        <v>3089700</v>
      </c>
      <c r="E114" s="1185" t="n">
        <f aca="false">IF($A114&gt;Endyr,0,Tariff_Cap)</f>
        <v>0.3351</v>
      </c>
      <c r="F114" s="1186" t="n">
        <f aca="false">D114*E114/1000</f>
        <v>1035.35847</v>
      </c>
      <c r="G114" s="1187" t="n">
        <f aca="false">[4]MMBTU!R137</f>
        <v>2025354.24</v>
      </c>
      <c r="H114" s="1185" t="n">
        <f aca="false">IF($A114&gt;Endyr,0,Tariff_Var)</f>
        <v>0.005</v>
      </c>
      <c r="I114" s="1186" t="n">
        <f aca="false">G114*H114/1000</f>
        <v>10.1267712</v>
      </c>
      <c r="J114" s="1188" t="n">
        <f aca="false">SUM(F114,I114)</f>
        <v>1045.4852412</v>
      </c>
      <c r="K114" s="1189" t="n">
        <f aca="false">VLOOKUP($A114,Curves_Table,Escalation!$P$291)</f>
        <v>1.37395101449367</v>
      </c>
      <c r="L114" s="1190" t="n">
        <f aca="false">J114*K114</f>
        <v>1436.4455077849</v>
      </c>
      <c r="M114" s="1191" t="str">
        <f aca="false">IF(MONTH($A114)=12,SUM(L103:L114)," ")</f>
        <v> </v>
      </c>
    </row>
    <row r="115" customFormat="false" ht="12.75" hidden="false" customHeight="false" outlineLevel="0" collapsed="false">
      <c r="A115" s="1182" t="n">
        <f aca="false">EDATE(A114,1)</f>
        <v>40087</v>
      </c>
      <c r="C115" s="1183" t="n">
        <f aca="false">A116-A115</f>
        <v>31</v>
      </c>
      <c r="D115" s="1184" t="n">
        <f aca="false">IF($A115&gt;Endyr,0,IF($A115&lt;Assm!$F$32,G115,Capacity*C115))</f>
        <v>3192690</v>
      </c>
      <c r="E115" s="1185" t="n">
        <f aca="false">IF($A115&gt;Endyr,0,Tariff_Cap)</f>
        <v>0.3351</v>
      </c>
      <c r="F115" s="1186" t="n">
        <f aca="false">D115*E115/1000</f>
        <v>1069.870419</v>
      </c>
      <c r="G115" s="1187" t="n">
        <f aca="false">[4]MMBTU!R138</f>
        <v>2092866.048</v>
      </c>
      <c r="H115" s="1185" t="n">
        <f aca="false">IF($A115&gt;Endyr,0,Tariff_Var)</f>
        <v>0.005</v>
      </c>
      <c r="I115" s="1186" t="n">
        <f aca="false">G115*H115/1000</f>
        <v>10.46433024</v>
      </c>
      <c r="J115" s="1188" t="n">
        <f aca="false">SUM(F115,I115)</f>
        <v>1080.33474924</v>
      </c>
      <c r="K115" s="1189" t="n">
        <f aca="false">VLOOKUP($A115,Curves_Table,Escalation!$P$291)</f>
        <v>1.37395101449367</v>
      </c>
      <c r="L115" s="1190" t="n">
        <f aca="false">J115*K115</f>
        <v>1484.32702471106</v>
      </c>
      <c r="M115" s="1191" t="str">
        <f aca="false">IF(MONTH($A115)=12,SUM(L104:L115)," ")</f>
        <v> </v>
      </c>
    </row>
    <row r="116" customFormat="false" ht="12.75" hidden="false" customHeight="false" outlineLevel="0" collapsed="false">
      <c r="A116" s="1182" t="n">
        <f aca="false">EDATE(A115,1)</f>
        <v>40118</v>
      </c>
      <c r="C116" s="1183" t="n">
        <f aca="false">A117-A116</f>
        <v>30</v>
      </c>
      <c r="D116" s="1184" t="n">
        <f aca="false">IF($A116&gt;Endyr,0,IF($A116&lt;Assm!$F$32,G116,Capacity*C116))</f>
        <v>3089700</v>
      </c>
      <c r="E116" s="1185" t="n">
        <f aca="false">IF($A116&gt;Endyr,0,Tariff_Cap)</f>
        <v>0.3351</v>
      </c>
      <c r="F116" s="1186" t="n">
        <f aca="false">D116*E116/1000</f>
        <v>1035.35847</v>
      </c>
      <c r="G116" s="1187" t="n">
        <f aca="false">[4]MMBTU!R139</f>
        <v>2025354.24</v>
      </c>
      <c r="H116" s="1185" t="n">
        <f aca="false">IF($A116&gt;Endyr,0,Tariff_Var)</f>
        <v>0.005</v>
      </c>
      <c r="I116" s="1186" t="n">
        <f aca="false">G116*H116/1000</f>
        <v>10.1267712</v>
      </c>
      <c r="J116" s="1188" t="n">
        <f aca="false">SUM(F116,I116)</f>
        <v>1045.4852412</v>
      </c>
      <c r="K116" s="1189" t="n">
        <f aca="false">VLOOKUP($A116,Curves_Table,Escalation!$P$291)</f>
        <v>1.37395101449367</v>
      </c>
      <c r="L116" s="1190" t="n">
        <f aca="false">J116*K116</f>
        <v>1436.4455077849</v>
      </c>
      <c r="M116" s="1191" t="str">
        <f aca="false">IF(MONTH($A116)=12,SUM(L105:L116)," ")</f>
        <v> </v>
      </c>
    </row>
    <row r="117" customFormat="false" ht="12.75" hidden="false" customHeight="false" outlineLevel="0" collapsed="false">
      <c r="A117" s="1182" t="n">
        <f aca="false">EDATE(A116,1)</f>
        <v>40148</v>
      </c>
      <c r="C117" s="1183" t="n">
        <f aca="false">A118-A117</f>
        <v>31</v>
      </c>
      <c r="D117" s="1184" t="n">
        <f aca="false">IF($A117&gt;Endyr,0,IF($A117&lt;Assm!$F$32,G117,Capacity*C117))</f>
        <v>3192690</v>
      </c>
      <c r="E117" s="1185" t="n">
        <f aca="false">IF($A117&gt;Endyr,0,Tariff_Cap)</f>
        <v>0.3351</v>
      </c>
      <c r="F117" s="1186" t="n">
        <f aca="false">D117*E117/1000</f>
        <v>1069.870419</v>
      </c>
      <c r="G117" s="1187" t="n">
        <f aca="false">[4]MMBTU!R140</f>
        <v>2092866.048</v>
      </c>
      <c r="H117" s="1185" t="n">
        <f aca="false">IF($A117&gt;Endyr,0,Tariff_Var)</f>
        <v>0.005</v>
      </c>
      <c r="I117" s="1186" t="n">
        <f aca="false">G117*H117/1000</f>
        <v>10.46433024</v>
      </c>
      <c r="J117" s="1188" t="n">
        <f aca="false">SUM(F117,I117)</f>
        <v>1080.33474924</v>
      </c>
      <c r="K117" s="1189" t="n">
        <f aca="false">VLOOKUP($A117,Curves_Table,Escalation!$P$291)</f>
        <v>1.37395101449367</v>
      </c>
      <c r="L117" s="1190" t="n">
        <f aca="false">J117*K117</f>
        <v>1484.32702471106</v>
      </c>
      <c r="M117" s="1191" t="n">
        <f aca="false">IF(MONTH($A117)=12,SUM(L106:L117)," ")</f>
        <v>17329.6696542016</v>
      </c>
    </row>
    <row r="118" customFormat="false" ht="12.75" hidden="false" customHeight="false" outlineLevel="0" collapsed="false">
      <c r="A118" s="1182" t="n">
        <f aca="false">EDATE(A117,1)</f>
        <v>40179</v>
      </c>
      <c r="C118" s="1183" t="n">
        <f aca="false">A119-A118</f>
        <v>31</v>
      </c>
      <c r="D118" s="1184" t="n">
        <f aca="false">IF($A118&gt;Endyr,0,IF($A118&lt;Assm!$F$32,G118,Capacity*C118))</f>
        <v>3192690</v>
      </c>
      <c r="E118" s="1185" t="n">
        <f aca="false">IF($A118&gt;Endyr,0,Tariff_Cap)</f>
        <v>0.3351</v>
      </c>
      <c r="F118" s="1186" t="n">
        <f aca="false">D118*E118/1000</f>
        <v>1069.870419</v>
      </c>
      <c r="G118" s="1187" t="n">
        <f aca="false">[4]MMBTU!R141</f>
        <v>2092866.048</v>
      </c>
      <c r="H118" s="1185" t="n">
        <f aca="false">IF($A118&gt;Endyr,0,Tariff_Var)</f>
        <v>0.005</v>
      </c>
      <c r="I118" s="1186" t="n">
        <f aca="false">G118*H118/1000</f>
        <v>10.46433024</v>
      </c>
      <c r="J118" s="1188" t="n">
        <f aca="false">SUM(F118,I118)</f>
        <v>1080.33474924</v>
      </c>
      <c r="K118" s="1189" t="n">
        <f aca="false">VLOOKUP($A118,Curves_Table,Escalation!$P$291)</f>
        <v>1.37395101449367</v>
      </c>
      <c r="L118" s="1190" t="n">
        <f aca="false">J118*K118</f>
        <v>1484.32702471106</v>
      </c>
      <c r="M118" s="1191" t="str">
        <f aca="false">IF(MONTH($A118)=12,SUM(L107:L118)," ")</f>
        <v> </v>
      </c>
    </row>
    <row r="119" customFormat="false" ht="12.75" hidden="false" customHeight="false" outlineLevel="0" collapsed="false">
      <c r="A119" s="1182" t="n">
        <f aca="false">EDATE(A118,1)</f>
        <v>40210</v>
      </c>
      <c r="C119" s="1183" t="n">
        <f aca="false">A120-A119</f>
        <v>28</v>
      </c>
      <c r="D119" s="1184" t="n">
        <f aca="false">IF($A119&gt;Endyr,0,IF($A119&lt;Assm!$F$32,G119,Capacity*C119))</f>
        <v>2883720</v>
      </c>
      <c r="E119" s="1185" t="n">
        <f aca="false">IF($A119&gt;Endyr,0,Tariff_Cap)</f>
        <v>0.3351</v>
      </c>
      <c r="F119" s="1186" t="n">
        <f aca="false">D119*E119/1000</f>
        <v>966.334572</v>
      </c>
      <c r="G119" s="1187" t="n">
        <f aca="false">[4]MMBTU!R142</f>
        <v>1890330.624</v>
      </c>
      <c r="H119" s="1185" t="n">
        <f aca="false">IF($A119&gt;Endyr,0,Tariff_Var)</f>
        <v>0.005</v>
      </c>
      <c r="I119" s="1186" t="n">
        <f aca="false">G119*H119/1000</f>
        <v>9.45165312</v>
      </c>
      <c r="J119" s="1188" t="n">
        <f aca="false">SUM(F119,I119)</f>
        <v>975.78622512</v>
      </c>
      <c r="K119" s="1189" t="n">
        <f aca="false">VLOOKUP($A119,Curves_Table,Escalation!$P$291)</f>
        <v>1.37395101449367</v>
      </c>
      <c r="L119" s="1190" t="n">
        <f aca="false">J119*K119</f>
        <v>1340.68247393257</v>
      </c>
      <c r="M119" s="1191" t="str">
        <f aca="false">IF(MONTH($A119)=12,SUM(L108:L119)," ")</f>
        <v> </v>
      </c>
    </row>
    <row r="120" customFormat="false" ht="12.75" hidden="false" customHeight="false" outlineLevel="0" collapsed="false">
      <c r="A120" s="1182" t="n">
        <f aca="false">EDATE(A119,1)</f>
        <v>40238</v>
      </c>
      <c r="C120" s="1183" t="n">
        <f aca="false">A121-A120</f>
        <v>31</v>
      </c>
      <c r="D120" s="1184" t="n">
        <f aca="false">IF($A120&gt;Endyr,0,IF($A120&lt;Assm!$F$32,G120,Capacity*C120))</f>
        <v>3192690</v>
      </c>
      <c r="E120" s="1185" t="n">
        <f aca="false">IF($A120&gt;Endyr,0,Tariff_Cap)</f>
        <v>0.3351</v>
      </c>
      <c r="F120" s="1186" t="n">
        <f aca="false">D120*E120/1000</f>
        <v>1069.870419</v>
      </c>
      <c r="G120" s="1187" t="n">
        <f aca="false">[4]MMBTU!R143</f>
        <v>2092866.048</v>
      </c>
      <c r="H120" s="1185" t="n">
        <f aca="false">IF($A120&gt;Endyr,0,Tariff_Var)</f>
        <v>0.005</v>
      </c>
      <c r="I120" s="1186" t="n">
        <f aca="false">G120*H120/1000</f>
        <v>10.46433024</v>
      </c>
      <c r="J120" s="1188" t="n">
        <f aca="false">SUM(F120,I120)</f>
        <v>1080.33474924</v>
      </c>
      <c r="K120" s="1189" t="n">
        <f aca="false">VLOOKUP($A120,Curves_Table,Escalation!$P$291)</f>
        <v>1.37395101449367</v>
      </c>
      <c r="L120" s="1190" t="n">
        <f aca="false">J120*K120</f>
        <v>1484.32702471106</v>
      </c>
      <c r="M120" s="1191" t="str">
        <f aca="false">IF(MONTH($A120)=12,SUM(L109:L120)," ")</f>
        <v> </v>
      </c>
    </row>
    <row r="121" customFormat="false" ht="12.75" hidden="false" customHeight="false" outlineLevel="0" collapsed="false">
      <c r="A121" s="1182" t="n">
        <f aca="false">EDATE(A120,1)</f>
        <v>40269</v>
      </c>
      <c r="C121" s="1183" t="n">
        <f aca="false">A122-A121</f>
        <v>30</v>
      </c>
      <c r="D121" s="1184" t="n">
        <f aca="false">IF($A121&gt;Endyr,0,IF($A121&lt;Assm!$F$32,G121,Capacity*C121))</f>
        <v>3089700</v>
      </c>
      <c r="E121" s="1185" t="n">
        <f aca="false">IF($A121&gt;Endyr,0,Tariff_Cap)</f>
        <v>0.3351</v>
      </c>
      <c r="F121" s="1186" t="n">
        <f aca="false">D121*E121/1000</f>
        <v>1035.35847</v>
      </c>
      <c r="G121" s="1187" t="n">
        <f aca="false">[4]MMBTU!R144</f>
        <v>2025354.24</v>
      </c>
      <c r="H121" s="1185" t="n">
        <f aca="false">IF($A121&gt;Endyr,0,Tariff_Var)</f>
        <v>0.005</v>
      </c>
      <c r="I121" s="1186" t="n">
        <f aca="false">G121*H121/1000</f>
        <v>10.1267712</v>
      </c>
      <c r="J121" s="1188" t="n">
        <f aca="false">SUM(F121,I121)</f>
        <v>1045.4852412</v>
      </c>
      <c r="K121" s="1189" t="n">
        <f aca="false">VLOOKUP($A121,Curves_Table,Escalation!$P$291)</f>
        <v>1.37395101449367</v>
      </c>
      <c r="L121" s="1190" t="n">
        <f aca="false">J121*K121</f>
        <v>1436.4455077849</v>
      </c>
      <c r="M121" s="1191" t="str">
        <f aca="false">IF(MONTH($A121)=12,SUM(L110:L121)," ")</f>
        <v> </v>
      </c>
    </row>
    <row r="122" customFormat="false" ht="12.75" hidden="false" customHeight="false" outlineLevel="0" collapsed="false">
      <c r="A122" s="1182" t="n">
        <f aca="false">EDATE(A121,1)</f>
        <v>40299</v>
      </c>
      <c r="C122" s="1183" t="n">
        <f aca="false">A123-A122</f>
        <v>31</v>
      </c>
      <c r="D122" s="1184" t="n">
        <f aca="false">IF($A122&gt;Endyr,0,IF($A122&lt;Assm!$F$32,G122,Capacity*C122))</f>
        <v>3192690</v>
      </c>
      <c r="E122" s="1185" t="n">
        <f aca="false">IF($A122&gt;Endyr,0,Tariff_Cap)</f>
        <v>0.3351</v>
      </c>
      <c r="F122" s="1186" t="n">
        <f aca="false">D122*E122/1000</f>
        <v>1069.870419</v>
      </c>
      <c r="G122" s="1187" t="n">
        <f aca="false">[4]MMBTU!R145</f>
        <v>2092866.048</v>
      </c>
      <c r="H122" s="1185" t="n">
        <f aca="false">IF($A122&gt;Endyr,0,Tariff_Var)</f>
        <v>0.005</v>
      </c>
      <c r="I122" s="1186" t="n">
        <f aca="false">G122*H122/1000</f>
        <v>10.46433024</v>
      </c>
      <c r="J122" s="1188" t="n">
        <f aca="false">SUM(F122,I122)</f>
        <v>1080.33474924</v>
      </c>
      <c r="K122" s="1189" t="n">
        <f aca="false">VLOOKUP($A122,Curves_Table,Escalation!$P$291)</f>
        <v>1.40945468809218</v>
      </c>
      <c r="L122" s="1190" t="n">
        <f aca="false">J122*K122</f>
        <v>1522.68287702521</v>
      </c>
      <c r="M122" s="1191" t="str">
        <f aca="false">IF(MONTH($A122)=12,SUM(L111:L122)," ")</f>
        <v> </v>
      </c>
    </row>
    <row r="123" customFormat="false" ht="12.75" hidden="false" customHeight="false" outlineLevel="0" collapsed="false">
      <c r="A123" s="1182" t="n">
        <f aca="false">EDATE(A122,1)</f>
        <v>40330</v>
      </c>
      <c r="C123" s="1183" t="n">
        <f aca="false">A124-A123</f>
        <v>30</v>
      </c>
      <c r="D123" s="1184" t="n">
        <f aca="false">IF($A123&gt;Endyr,0,IF($A123&lt;Assm!$F$32,G123,Capacity*C123))</f>
        <v>3089700</v>
      </c>
      <c r="E123" s="1185" t="n">
        <f aca="false">IF($A123&gt;Endyr,0,Tariff_Cap)</f>
        <v>0.3351</v>
      </c>
      <c r="F123" s="1186" t="n">
        <f aca="false">D123*E123/1000</f>
        <v>1035.35847</v>
      </c>
      <c r="G123" s="1187" t="n">
        <f aca="false">[4]MMBTU!R146</f>
        <v>2025354.24</v>
      </c>
      <c r="H123" s="1185" t="n">
        <f aca="false">IF($A123&gt;Endyr,0,Tariff_Var)</f>
        <v>0.005</v>
      </c>
      <c r="I123" s="1186" t="n">
        <f aca="false">G123*H123/1000</f>
        <v>10.1267712</v>
      </c>
      <c r="J123" s="1188" t="n">
        <f aca="false">SUM(F123,I123)</f>
        <v>1045.4852412</v>
      </c>
      <c r="K123" s="1189" t="n">
        <f aca="false">VLOOKUP($A123,Curves_Table,Escalation!$P$291)</f>
        <v>1.40945468809218</v>
      </c>
      <c r="L123" s="1190" t="n">
        <f aca="false">J123*K123</f>
        <v>1473.56407454052</v>
      </c>
      <c r="M123" s="1191" t="str">
        <f aca="false">IF(MONTH($A123)=12,SUM(L112:L123)," ")</f>
        <v> </v>
      </c>
    </row>
    <row r="124" customFormat="false" ht="12.75" hidden="false" customHeight="false" outlineLevel="0" collapsed="false">
      <c r="A124" s="1182" t="n">
        <f aca="false">EDATE(A123,1)</f>
        <v>40360</v>
      </c>
      <c r="C124" s="1183" t="n">
        <f aca="false">A125-A124</f>
        <v>31</v>
      </c>
      <c r="D124" s="1184" t="n">
        <f aca="false">IF($A124&gt;Endyr,0,IF($A124&lt;Assm!$F$32,G124,Capacity*C124))</f>
        <v>3192690</v>
      </c>
      <c r="E124" s="1185" t="n">
        <f aca="false">IF($A124&gt;Endyr,0,Tariff_Cap)</f>
        <v>0.3351</v>
      </c>
      <c r="F124" s="1186" t="n">
        <f aca="false">D124*E124/1000</f>
        <v>1069.870419</v>
      </c>
      <c r="G124" s="1187" t="n">
        <f aca="false">[4]MMBTU!R147</f>
        <v>2092866.048</v>
      </c>
      <c r="H124" s="1185" t="n">
        <f aca="false">IF($A124&gt;Endyr,0,Tariff_Var)</f>
        <v>0.005</v>
      </c>
      <c r="I124" s="1186" t="n">
        <f aca="false">G124*H124/1000</f>
        <v>10.46433024</v>
      </c>
      <c r="J124" s="1188" t="n">
        <f aca="false">SUM(F124,I124)</f>
        <v>1080.33474924</v>
      </c>
      <c r="K124" s="1189" t="n">
        <f aca="false">VLOOKUP($A124,Curves_Table,Escalation!$P$291)</f>
        <v>1.40945468809218</v>
      </c>
      <c r="L124" s="1190" t="n">
        <f aca="false">J124*K124</f>
        <v>1522.68287702521</v>
      </c>
      <c r="M124" s="1191" t="str">
        <f aca="false">IF(MONTH($A124)=12,SUM(L113:L124)," ")</f>
        <v> </v>
      </c>
    </row>
    <row r="125" customFormat="false" ht="12.75" hidden="false" customHeight="false" outlineLevel="0" collapsed="false">
      <c r="A125" s="1182" t="n">
        <f aca="false">EDATE(A124,1)</f>
        <v>40391</v>
      </c>
      <c r="C125" s="1183" t="n">
        <f aca="false">A126-A125</f>
        <v>31</v>
      </c>
      <c r="D125" s="1184" t="n">
        <f aca="false">IF($A125&gt;Endyr,0,IF($A125&lt;Assm!$F$32,G125,Capacity*C125))</f>
        <v>3192690</v>
      </c>
      <c r="E125" s="1185" t="n">
        <f aca="false">IF($A125&gt;Endyr,0,Tariff_Cap)</f>
        <v>0.3351</v>
      </c>
      <c r="F125" s="1186" t="n">
        <f aca="false">D125*E125/1000</f>
        <v>1069.870419</v>
      </c>
      <c r="G125" s="1187" t="n">
        <f aca="false">[4]MMBTU!R148</f>
        <v>2092866.048</v>
      </c>
      <c r="H125" s="1185" t="n">
        <f aca="false">IF($A125&gt;Endyr,0,Tariff_Var)</f>
        <v>0.005</v>
      </c>
      <c r="I125" s="1186" t="n">
        <f aca="false">G125*H125/1000</f>
        <v>10.46433024</v>
      </c>
      <c r="J125" s="1188" t="n">
        <f aca="false">SUM(F125,I125)</f>
        <v>1080.33474924</v>
      </c>
      <c r="K125" s="1189" t="n">
        <f aca="false">VLOOKUP($A125,Curves_Table,Escalation!$P$291)</f>
        <v>1.40945468809218</v>
      </c>
      <c r="L125" s="1190" t="n">
        <f aca="false">J125*K125</f>
        <v>1522.68287702521</v>
      </c>
      <c r="M125" s="1191" t="str">
        <f aca="false">IF(MONTH($A125)=12,SUM(L114:L125)," ")</f>
        <v> </v>
      </c>
    </row>
    <row r="126" customFormat="false" ht="12.75" hidden="false" customHeight="false" outlineLevel="0" collapsed="false">
      <c r="A126" s="1182" t="n">
        <f aca="false">EDATE(A125,1)</f>
        <v>40422</v>
      </c>
      <c r="C126" s="1183" t="n">
        <f aca="false">A127-A126</f>
        <v>30</v>
      </c>
      <c r="D126" s="1184" t="n">
        <f aca="false">IF($A126&gt;Endyr,0,IF($A126&lt;Assm!$F$32,G126,Capacity*C126))</f>
        <v>3089700</v>
      </c>
      <c r="E126" s="1185" t="n">
        <f aca="false">IF($A126&gt;Endyr,0,Tariff_Cap)</f>
        <v>0.3351</v>
      </c>
      <c r="F126" s="1186" t="n">
        <f aca="false">D126*E126/1000</f>
        <v>1035.35847</v>
      </c>
      <c r="G126" s="1187" t="n">
        <f aca="false">[4]MMBTU!R149</f>
        <v>2025354.24</v>
      </c>
      <c r="H126" s="1185" t="n">
        <f aca="false">IF($A126&gt;Endyr,0,Tariff_Var)</f>
        <v>0.005</v>
      </c>
      <c r="I126" s="1186" t="n">
        <f aca="false">G126*H126/1000</f>
        <v>10.1267712</v>
      </c>
      <c r="J126" s="1188" t="n">
        <f aca="false">SUM(F126,I126)</f>
        <v>1045.4852412</v>
      </c>
      <c r="K126" s="1189" t="n">
        <f aca="false">VLOOKUP($A126,Curves_Table,Escalation!$P$291)</f>
        <v>1.40945468809218</v>
      </c>
      <c r="L126" s="1190" t="n">
        <f aca="false">J126*K126</f>
        <v>1473.56407454052</v>
      </c>
      <c r="M126" s="1191" t="str">
        <f aca="false">IF(MONTH($A126)=12,SUM(L115:L126)," ")</f>
        <v> </v>
      </c>
    </row>
    <row r="127" customFormat="false" ht="12.75" hidden="false" customHeight="false" outlineLevel="0" collapsed="false">
      <c r="A127" s="1182" t="n">
        <f aca="false">EDATE(A126,1)</f>
        <v>40452</v>
      </c>
      <c r="C127" s="1183" t="n">
        <f aca="false">A128-A127</f>
        <v>31</v>
      </c>
      <c r="D127" s="1184" t="n">
        <f aca="false">IF($A127&gt;Endyr,0,IF($A127&lt;Assm!$F$32,G127,Capacity*C127))</f>
        <v>3192690</v>
      </c>
      <c r="E127" s="1185" t="n">
        <f aca="false">IF($A127&gt;Endyr,0,Tariff_Cap)</f>
        <v>0.3351</v>
      </c>
      <c r="F127" s="1186" t="n">
        <f aca="false">D127*E127/1000</f>
        <v>1069.870419</v>
      </c>
      <c r="G127" s="1187" t="n">
        <f aca="false">[4]MMBTU!R150</f>
        <v>2092866.048</v>
      </c>
      <c r="H127" s="1185" t="n">
        <f aca="false">IF($A127&gt;Endyr,0,Tariff_Var)</f>
        <v>0.005</v>
      </c>
      <c r="I127" s="1186" t="n">
        <f aca="false">G127*H127/1000</f>
        <v>10.46433024</v>
      </c>
      <c r="J127" s="1188" t="n">
        <f aca="false">SUM(F127,I127)</f>
        <v>1080.33474924</v>
      </c>
      <c r="K127" s="1189" t="n">
        <f aca="false">VLOOKUP($A127,Curves_Table,Escalation!$P$291)</f>
        <v>1.40945468809218</v>
      </c>
      <c r="L127" s="1190" t="n">
        <f aca="false">J127*K127</f>
        <v>1522.68287702521</v>
      </c>
      <c r="M127" s="1191" t="str">
        <f aca="false">IF(MONTH($A127)=12,SUM(L116:L127)," ")</f>
        <v> </v>
      </c>
    </row>
    <row r="128" customFormat="false" ht="12.75" hidden="false" customHeight="false" outlineLevel="0" collapsed="false">
      <c r="A128" s="1182" t="n">
        <f aca="false">EDATE(A127,1)</f>
        <v>40483</v>
      </c>
      <c r="C128" s="1183" t="n">
        <f aca="false">A129-A128</f>
        <v>30</v>
      </c>
      <c r="D128" s="1184" t="n">
        <f aca="false">IF($A128&gt;Endyr,0,IF($A128&lt;Assm!$F$32,G128,Capacity*C128))</f>
        <v>3089700</v>
      </c>
      <c r="E128" s="1185" t="n">
        <f aca="false">IF($A128&gt;Endyr,0,Tariff_Cap)</f>
        <v>0.3351</v>
      </c>
      <c r="F128" s="1186" t="n">
        <f aca="false">D128*E128/1000</f>
        <v>1035.35847</v>
      </c>
      <c r="G128" s="1187" t="n">
        <f aca="false">[4]MMBTU!R151</f>
        <v>2025354.24</v>
      </c>
      <c r="H128" s="1185" t="n">
        <f aca="false">IF($A128&gt;Endyr,0,Tariff_Var)</f>
        <v>0.005</v>
      </c>
      <c r="I128" s="1186" t="n">
        <f aca="false">G128*H128/1000</f>
        <v>10.1267712</v>
      </c>
      <c r="J128" s="1188" t="n">
        <f aca="false">SUM(F128,I128)</f>
        <v>1045.4852412</v>
      </c>
      <c r="K128" s="1189" t="n">
        <f aca="false">VLOOKUP($A128,Curves_Table,Escalation!$P$291)</f>
        <v>1.40945468809218</v>
      </c>
      <c r="L128" s="1190" t="n">
        <f aca="false">J128*K128</f>
        <v>1473.56407454052</v>
      </c>
      <c r="M128" s="1191" t="str">
        <f aca="false">IF(MONTH($A128)=12,SUM(L117:L128)," ")</f>
        <v> </v>
      </c>
    </row>
    <row r="129" customFormat="false" ht="12.75" hidden="false" customHeight="false" outlineLevel="0" collapsed="false">
      <c r="A129" s="1182" t="n">
        <f aca="false">EDATE(A128,1)</f>
        <v>40513</v>
      </c>
      <c r="C129" s="1183" t="n">
        <f aca="false">A130-A129</f>
        <v>31</v>
      </c>
      <c r="D129" s="1184" t="n">
        <f aca="false">IF($A129&gt;Endyr,0,IF($A129&lt;Assm!$F$32,G129,Capacity*C129))</f>
        <v>3192690</v>
      </c>
      <c r="E129" s="1185" t="n">
        <f aca="false">IF($A129&gt;Endyr,0,Tariff_Cap)</f>
        <v>0.3351</v>
      </c>
      <c r="F129" s="1186" t="n">
        <f aca="false">D129*E129/1000</f>
        <v>1069.870419</v>
      </c>
      <c r="G129" s="1187" t="n">
        <f aca="false">[4]MMBTU!R152</f>
        <v>2092866.048</v>
      </c>
      <c r="H129" s="1185" t="n">
        <f aca="false">IF($A129&gt;Endyr,0,Tariff_Var)</f>
        <v>0.005</v>
      </c>
      <c r="I129" s="1186" t="n">
        <f aca="false">G129*H129/1000</f>
        <v>10.46433024</v>
      </c>
      <c r="J129" s="1188" t="n">
        <f aca="false">SUM(F129,I129)</f>
        <v>1080.33474924</v>
      </c>
      <c r="K129" s="1189" t="n">
        <f aca="false">VLOOKUP($A129,Curves_Table,Escalation!$P$291)</f>
        <v>1.40945468809218</v>
      </c>
      <c r="L129" s="1190" t="n">
        <f aca="false">J129*K129</f>
        <v>1522.68287702521</v>
      </c>
      <c r="M129" s="1191" t="n">
        <f aca="false">IF(MONTH($A129)=12,SUM(L118:L129)," ")</f>
        <v>17779.8886398872</v>
      </c>
    </row>
    <row r="130" customFormat="false" ht="12.75" hidden="false" customHeight="false" outlineLevel="0" collapsed="false">
      <c r="A130" s="1182" t="n">
        <f aca="false">EDATE(A129,1)</f>
        <v>40544</v>
      </c>
      <c r="C130" s="1183" t="n">
        <f aca="false">A131-A130</f>
        <v>31</v>
      </c>
      <c r="D130" s="1184" t="n">
        <f aca="false">IF($A130&gt;Endyr,0,IF($A130&lt;Assm!$F$32,G130,Capacity*C130))</f>
        <v>3192690</v>
      </c>
      <c r="E130" s="1185" t="n">
        <f aca="false">IF($A130&gt;Endyr,0,Tariff_Cap)</f>
        <v>0.3351</v>
      </c>
      <c r="F130" s="1186" t="n">
        <f aca="false">D130*E130/1000</f>
        <v>1069.870419</v>
      </c>
      <c r="G130" s="1187" t="n">
        <f aca="false">[4]MMBTU!R153</f>
        <v>2092866.048</v>
      </c>
      <c r="H130" s="1185" t="n">
        <f aca="false">IF($A130&gt;Endyr,0,Tariff_Var)</f>
        <v>0.005</v>
      </c>
      <c r="I130" s="1186" t="n">
        <f aca="false">G130*H130/1000</f>
        <v>10.46433024</v>
      </c>
      <c r="J130" s="1188" t="n">
        <f aca="false">SUM(F130,I130)</f>
        <v>1080.33474924</v>
      </c>
      <c r="K130" s="1189" t="n">
        <f aca="false">VLOOKUP($A130,Curves_Table,Escalation!$P$291)</f>
        <v>1.40945468809218</v>
      </c>
      <c r="L130" s="1190" t="n">
        <f aca="false">J130*K130</f>
        <v>1522.68287702521</v>
      </c>
      <c r="M130" s="1191" t="str">
        <f aca="false">IF(MONTH($A130)=12,SUM(L119:L130)," ")</f>
        <v> </v>
      </c>
    </row>
    <row r="131" customFormat="false" ht="12.75" hidden="false" customHeight="false" outlineLevel="0" collapsed="false">
      <c r="A131" s="1182" t="n">
        <f aca="false">EDATE(A130,1)</f>
        <v>40575</v>
      </c>
      <c r="C131" s="1183" t="n">
        <f aca="false">A132-A131</f>
        <v>28</v>
      </c>
      <c r="D131" s="1184" t="n">
        <f aca="false">IF($A131&gt;Endyr,0,IF($A131&lt;Assm!$F$32,G131,Capacity*C131))</f>
        <v>2883720</v>
      </c>
      <c r="E131" s="1185" t="n">
        <f aca="false">IF($A131&gt;Endyr,0,Tariff_Cap)</f>
        <v>0.3351</v>
      </c>
      <c r="F131" s="1186" t="n">
        <f aca="false">D131*E131/1000</f>
        <v>966.334572</v>
      </c>
      <c r="G131" s="1187" t="n">
        <f aca="false">[4]MMBTU!R154</f>
        <v>1890330.624</v>
      </c>
      <c r="H131" s="1185" t="n">
        <f aca="false">IF($A131&gt;Endyr,0,Tariff_Var)</f>
        <v>0.005</v>
      </c>
      <c r="I131" s="1186" t="n">
        <f aca="false">G131*H131/1000</f>
        <v>9.45165312</v>
      </c>
      <c r="J131" s="1188" t="n">
        <f aca="false">SUM(F131,I131)</f>
        <v>975.78622512</v>
      </c>
      <c r="K131" s="1189" t="n">
        <f aca="false">VLOOKUP($A131,Curves_Table,Escalation!$P$291)</f>
        <v>1.40945468809218</v>
      </c>
      <c r="L131" s="1190" t="n">
        <f aca="false">J131*K131</f>
        <v>1375.32646957115</v>
      </c>
      <c r="M131" s="1191" t="str">
        <f aca="false">IF(MONTH($A131)=12,SUM(L120:L131)," ")</f>
        <v> </v>
      </c>
    </row>
    <row r="132" customFormat="false" ht="12.75" hidden="false" customHeight="false" outlineLevel="0" collapsed="false">
      <c r="A132" s="1182" t="n">
        <f aca="false">EDATE(A131,1)</f>
        <v>40603</v>
      </c>
      <c r="C132" s="1183" t="n">
        <f aca="false">A133-A132</f>
        <v>31</v>
      </c>
      <c r="D132" s="1184" t="n">
        <f aca="false">IF($A132&gt;Endyr,0,IF($A132&lt;Assm!$F$32,G132,Capacity*C132))</f>
        <v>3192690</v>
      </c>
      <c r="E132" s="1185" t="n">
        <f aca="false">IF($A132&gt;Endyr,0,Tariff_Cap)</f>
        <v>0.3351</v>
      </c>
      <c r="F132" s="1186" t="n">
        <f aca="false">D132*E132/1000</f>
        <v>1069.870419</v>
      </c>
      <c r="G132" s="1187" t="n">
        <f aca="false">[4]MMBTU!R155</f>
        <v>2092866.048</v>
      </c>
      <c r="H132" s="1185" t="n">
        <f aca="false">IF($A132&gt;Endyr,0,Tariff_Var)</f>
        <v>0.005</v>
      </c>
      <c r="I132" s="1186" t="n">
        <f aca="false">G132*H132/1000</f>
        <v>10.46433024</v>
      </c>
      <c r="J132" s="1188" t="n">
        <f aca="false">SUM(F132,I132)</f>
        <v>1080.33474924</v>
      </c>
      <c r="K132" s="1189" t="n">
        <f aca="false">VLOOKUP($A132,Curves_Table,Escalation!$P$291)</f>
        <v>1.40945468809218</v>
      </c>
      <c r="L132" s="1190" t="n">
        <f aca="false">J132*K132</f>
        <v>1522.68287702521</v>
      </c>
      <c r="M132" s="1191" t="str">
        <f aca="false">IF(MONTH($A132)=12,SUM(L121:L132)," ")</f>
        <v> </v>
      </c>
    </row>
    <row r="133" customFormat="false" ht="12.75" hidden="false" customHeight="false" outlineLevel="0" collapsed="false">
      <c r="A133" s="1182" t="n">
        <f aca="false">EDATE(A132,1)</f>
        <v>40634</v>
      </c>
      <c r="C133" s="1183" t="n">
        <f aca="false">A134-A133</f>
        <v>30</v>
      </c>
      <c r="D133" s="1184" t="n">
        <f aca="false">IF($A133&gt;Endyr,0,IF($A133&lt;Assm!$F$32,G133,Capacity*C133))</f>
        <v>3089700</v>
      </c>
      <c r="E133" s="1185" t="n">
        <f aca="false">IF($A133&gt;Endyr,0,Tariff_Cap)</f>
        <v>0.3351</v>
      </c>
      <c r="F133" s="1186" t="n">
        <f aca="false">D133*E133/1000</f>
        <v>1035.35847</v>
      </c>
      <c r="G133" s="1187" t="n">
        <f aca="false">[4]MMBTU!R156</f>
        <v>2025354.24</v>
      </c>
      <c r="H133" s="1185" t="n">
        <f aca="false">IF($A133&gt;Endyr,0,Tariff_Var)</f>
        <v>0.005</v>
      </c>
      <c r="I133" s="1186" t="n">
        <f aca="false">G133*H133/1000</f>
        <v>10.1267712</v>
      </c>
      <c r="J133" s="1188" t="n">
        <f aca="false">SUM(F133,I133)</f>
        <v>1045.4852412</v>
      </c>
      <c r="K133" s="1189" t="n">
        <f aca="false">VLOOKUP($A133,Curves_Table,Escalation!$P$291)</f>
        <v>1.40945468809218</v>
      </c>
      <c r="L133" s="1190" t="n">
        <f aca="false">J133*K133</f>
        <v>1473.56407454052</v>
      </c>
      <c r="M133" s="1191" t="str">
        <f aca="false">IF(MONTH($A133)=12,SUM(L122:L133)," ")</f>
        <v> </v>
      </c>
    </row>
    <row r="134" customFormat="false" ht="12.75" hidden="false" customHeight="false" outlineLevel="0" collapsed="false">
      <c r="A134" s="1182" t="n">
        <f aca="false">EDATE(A133,1)</f>
        <v>40664</v>
      </c>
      <c r="C134" s="1183" t="n">
        <f aca="false">A135-A134</f>
        <v>31</v>
      </c>
      <c r="D134" s="1184" t="n">
        <f aca="false">IF($A134&gt;Endyr,0,IF($A134&lt;Assm!$F$32,G134,Capacity*C134))</f>
        <v>3192690</v>
      </c>
      <c r="E134" s="1185" t="n">
        <f aca="false">IF($A134&gt;Endyr,0,Tariff_Cap)</f>
        <v>0.3351</v>
      </c>
      <c r="F134" s="1186" t="n">
        <f aca="false">D134*E134/1000</f>
        <v>1069.870419</v>
      </c>
      <c r="G134" s="1187" t="n">
        <f aca="false">[4]MMBTU!R157</f>
        <v>2092866.048</v>
      </c>
      <c r="H134" s="1185" t="n">
        <f aca="false">IF($A134&gt;Endyr,0,Tariff_Var)</f>
        <v>0.005</v>
      </c>
      <c r="I134" s="1186" t="n">
        <f aca="false">G134*H134/1000</f>
        <v>10.46433024</v>
      </c>
      <c r="J134" s="1188" t="n">
        <f aca="false">SUM(F134,I134)</f>
        <v>1080.33474924</v>
      </c>
      <c r="K134" s="1189" t="n">
        <f aca="false">VLOOKUP($A134,Curves_Table,Escalation!$P$291)</f>
        <v>1.44536293026781</v>
      </c>
      <c r="L134" s="1190" t="n">
        <f aca="false">J134*K134</f>
        <v>1561.47579883166</v>
      </c>
      <c r="M134" s="1191" t="str">
        <f aca="false">IF(MONTH($A134)=12,SUM(L123:L134)," ")</f>
        <v> </v>
      </c>
    </row>
    <row r="135" customFormat="false" ht="12.75" hidden="false" customHeight="false" outlineLevel="0" collapsed="false">
      <c r="A135" s="1182" t="n">
        <f aca="false">EDATE(A134,1)</f>
        <v>40695</v>
      </c>
      <c r="C135" s="1183" t="n">
        <f aca="false">A136-A135</f>
        <v>30</v>
      </c>
      <c r="D135" s="1184" t="n">
        <f aca="false">IF($A135&gt;Endyr,0,IF($A135&lt;Assm!$F$32,G135,Capacity*C135))</f>
        <v>3089700</v>
      </c>
      <c r="E135" s="1185" t="n">
        <f aca="false">IF($A135&gt;Endyr,0,Tariff_Cap)</f>
        <v>0.3351</v>
      </c>
      <c r="F135" s="1186" t="n">
        <f aca="false">D135*E135/1000</f>
        <v>1035.35847</v>
      </c>
      <c r="G135" s="1187" t="n">
        <f aca="false">[4]MMBTU!R158</f>
        <v>2025354.24</v>
      </c>
      <c r="H135" s="1185" t="n">
        <f aca="false">IF($A135&gt;Endyr,0,Tariff_Var)</f>
        <v>0.005</v>
      </c>
      <c r="I135" s="1186" t="n">
        <f aca="false">G135*H135/1000</f>
        <v>10.1267712</v>
      </c>
      <c r="J135" s="1188" t="n">
        <f aca="false">SUM(F135,I135)</f>
        <v>1045.4852412</v>
      </c>
      <c r="K135" s="1189" t="n">
        <f aca="false">VLOOKUP($A135,Curves_Table,Escalation!$P$291)</f>
        <v>1.44536293026781</v>
      </c>
      <c r="L135" s="1190" t="n">
        <f aca="false">J135*K135</f>
        <v>1511.10561177258</v>
      </c>
      <c r="M135" s="1191" t="str">
        <f aca="false">IF(MONTH($A135)=12,SUM(L124:L135)," ")</f>
        <v> </v>
      </c>
    </row>
    <row r="136" customFormat="false" ht="12.75" hidden="false" customHeight="false" outlineLevel="0" collapsed="false">
      <c r="A136" s="1182" t="n">
        <f aca="false">EDATE(A135,1)</f>
        <v>40725</v>
      </c>
      <c r="C136" s="1183" t="n">
        <f aca="false">A137-A136</f>
        <v>31</v>
      </c>
      <c r="D136" s="1184" t="n">
        <f aca="false">IF($A136&gt;Endyr,0,IF($A136&lt;Assm!$F$32,G136,Capacity*C136))</f>
        <v>3192690</v>
      </c>
      <c r="E136" s="1185" t="n">
        <f aca="false">IF($A136&gt;Endyr,0,Tariff_Cap)</f>
        <v>0.3351</v>
      </c>
      <c r="F136" s="1186" t="n">
        <f aca="false">D136*E136/1000</f>
        <v>1069.870419</v>
      </c>
      <c r="G136" s="1187" t="n">
        <f aca="false">[4]MMBTU!R159</f>
        <v>2092866.048</v>
      </c>
      <c r="H136" s="1185" t="n">
        <f aca="false">IF($A136&gt;Endyr,0,Tariff_Var)</f>
        <v>0.005</v>
      </c>
      <c r="I136" s="1186" t="n">
        <f aca="false">G136*H136/1000</f>
        <v>10.46433024</v>
      </c>
      <c r="J136" s="1188" t="n">
        <f aca="false">SUM(F136,I136)</f>
        <v>1080.33474924</v>
      </c>
      <c r="K136" s="1189" t="n">
        <f aca="false">VLOOKUP($A136,Curves_Table,Escalation!$P$291)</f>
        <v>1.44536293026781</v>
      </c>
      <c r="L136" s="1190" t="n">
        <f aca="false">J136*K136</f>
        <v>1561.47579883166</v>
      </c>
      <c r="M136" s="1191" t="str">
        <f aca="false">IF(MONTH($A136)=12,SUM(L125:L136)," ")</f>
        <v> </v>
      </c>
    </row>
    <row r="137" customFormat="false" ht="12.75" hidden="false" customHeight="false" outlineLevel="0" collapsed="false">
      <c r="A137" s="1182" t="n">
        <f aca="false">EDATE(A136,1)</f>
        <v>40756</v>
      </c>
      <c r="C137" s="1183" t="n">
        <f aca="false">A138-A137</f>
        <v>31</v>
      </c>
      <c r="D137" s="1184" t="n">
        <f aca="false">IF($A137&gt;Endyr,0,IF($A137&lt;Assm!$F$32,G137,Capacity*C137))</f>
        <v>3192690</v>
      </c>
      <c r="E137" s="1185" t="n">
        <f aca="false">IF($A137&gt;Endyr,0,Tariff_Cap)</f>
        <v>0.3351</v>
      </c>
      <c r="F137" s="1186" t="n">
        <f aca="false">D137*E137/1000</f>
        <v>1069.870419</v>
      </c>
      <c r="G137" s="1187" t="n">
        <f aca="false">[4]MMBTU!R160</f>
        <v>2092866.048</v>
      </c>
      <c r="H137" s="1185" t="n">
        <f aca="false">IF($A137&gt;Endyr,0,Tariff_Var)</f>
        <v>0.005</v>
      </c>
      <c r="I137" s="1186" t="n">
        <f aca="false">G137*H137/1000</f>
        <v>10.46433024</v>
      </c>
      <c r="J137" s="1188" t="n">
        <f aca="false">SUM(F137,I137)</f>
        <v>1080.33474924</v>
      </c>
      <c r="K137" s="1189" t="n">
        <f aca="false">VLOOKUP($A137,Curves_Table,Escalation!$P$291)</f>
        <v>1.44536293026781</v>
      </c>
      <c r="L137" s="1190" t="n">
        <f aca="false">J137*K137</f>
        <v>1561.47579883166</v>
      </c>
      <c r="M137" s="1191" t="str">
        <f aca="false">IF(MONTH($A137)=12,SUM(L126:L137)," ")</f>
        <v> </v>
      </c>
    </row>
    <row r="138" customFormat="false" ht="12.75" hidden="false" customHeight="false" outlineLevel="0" collapsed="false">
      <c r="A138" s="1182" t="n">
        <f aca="false">EDATE(A137,1)</f>
        <v>40787</v>
      </c>
      <c r="C138" s="1183" t="n">
        <f aca="false">A139-A138</f>
        <v>30</v>
      </c>
      <c r="D138" s="1184" t="n">
        <f aca="false">IF($A138&gt;Endyr,0,IF($A138&lt;Assm!$F$32,G138,Capacity*C138))</f>
        <v>3089700</v>
      </c>
      <c r="E138" s="1185" t="n">
        <f aca="false">IF($A138&gt;Endyr,0,Tariff_Cap)</f>
        <v>0.3351</v>
      </c>
      <c r="F138" s="1186" t="n">
        <f aca="false">D138*E138/1000</f>
        <v>1035.35847</v>
      </c>
      <c r="G138" s="1187" t="n">
        <f aca="false">[4]MMBTU!R161</f>
        <v>2025354.24</v>
      </c>
      <c r="H138" s="1185" t="n">
        <f aca="false">IF($A138&gt;Endyr,0,Tariff_Var)</f>
        <v>0.005</v>
      </c>
      <c r="I138" s="1186" t="n">
        <f aca="false">G138*H138/1000</f>
        <v>10.1267712</v>
      </c>
      <c r="J138" s="1188" t="n">
        <f aca="false">SUM(F138,I138)</f>
        <v>1045.4852412</v>
      </c>
      <c r="K138" s="1189" t="n">
        <f aca="false">VLOOKUP($A138,Curves_Table,Escalation!$P$291)</f>
        <v>1.44536293026781</v>
      </c>
      <c r="L138" s="1190" t="n">
        <f aca="false">J138*K138</f>
        <v>1511.10561177258</v>
      </c>
      <c r="M138" s="1191" t="str">
        <f aca="false">IF(MONTH($A138)=12,SUM(L127:L138)," ")</f>
        <v> </v>
      </c>
    </row>
    <row r="139" customFormat="false" ht="12.75" hidden="false" customHeight="false" outlineLevel="0" collapsed="false">
      <c r="A139" s="1182" t="n">
        <f aca="false">EDATE(A138,1)</f>
        <v>40817</v>
      </c>
      <c r="C139" s="1183" t="n">
        <f aca="false">A140-A139</f>
        <v>31</v>
      </c>
      <c r="D139" s="1184" t="n">
        <f aca="false">IF($A139&gt;Endyr,0,IF($A139&lt;Assm!$F$32,G139,Capacity*C139))</f>
        <v>3192690</v>
      </c>
      <c r="E139" s="1185" t="n">
        <f aca="false">IF($A139&gt;Endyr,0,Tariff_Cap)</f>
        <v>0.3351</v>
      </c>
      <c r="F139" s="1186" t="n">
        <f aca="false">D139*E139/1000</f>
        <v>1069.870419</v>
      </c>
      <c r="G139" s="1187" t="n">
        <f aca="false">[4]MMBTU!R162</f>
        <v>2092866.048</v>
      </c>
      <c r="H139" s="1185" t="n">
        <f aca="false">IF($A139&gt;Endyr,0,Tariff_Var)</f>
        <v>0.005</v>
      </c>
      <c r="I139" s="1186" t="n">
        <f aca="false">G139*H139/1000</f>
        <v>10.46433024</v>
      </c>
      <c r="J139" s="1188" t="n">
        <f aca="false">SUM(F139,I139)</f>
        <v>1080.33474924</v>
      </c>
      <c r="K139" s="1189" t="n">
        <f aca="false">VLOOKUP($A139,Curves_Table,Escalation!$P$291)</f>
        <v>1.44536293026781</v>
      </c>
      <c r="L139" s="1190" t="n">
        <f aca="false">J139*K139</f>
        <v>1561.47579883166</v>
      </c>
      <c r="M139" s="1191" t="str">
        <f aca="false">IF(MONTH($A139)=12,SUM(L128:L139)," ")</f>
        <v> </v>
      </c>
    </row>
    <row r="140" customFormat="false" ht="12.75" hidden="false" customHeight="false" outlineLevel="0" collapsed="false">
      <c r="A140" s="1182" t="n">
        <f aca="false">EDATE(A139,1)</f>
        <v>40848</v>
      </c>
      <c r="C140" s="1183" t="n">
        <f aca="false">A141-A140</f>
        <v>30</v>
      </c>
      <c r="D140" s="1184" t="n">
        <f aca="false">IF($A140&gt;Endyr,0,IF($A140&lt;Assm!$F$32,G140,Capacity*C140))</f>
        <v>3089700</v>
      </c>
      <c r="E140" s="1185" t="n">
        <f aca="false">IF($A140&gt;Endyr,0,Tariff_Cap)</f>
        <v>0.3351</v>
      </c>
      <c r="F140" s="1186" t="n">
        <f aca="false">D140*E140/1000</f>
        <v>1035.35847</v>
      </c>
      <c r="G140" s="1187" t="n">
        <f aca="false">[4]MMBTU!R163</f>
        <v>2025354.24</v>
      </c>
      <c r="H140" s="1185" t="n">
        <f aca="false">IF($A140&gt;Endyr,0,Tariff_Var)</f>
        <v>0.005</v>
      </c>
      <c r="I140" s="1186" t="n">
        <f aca="false">G140*H140/1000</f>
        <v>10.1267712</v>
      </c>
      <c r="J140" s="1188" t="n">
        <f aca="false">SUM(F140,I140)</f>
        <v>1045.4852412</v>
      </c>
      <c r="K140" s="1189" t="n">
        <f aca="false">VLOOKUP($A140,Curves_Table,Escalation!$P$291)</f>
        <v>1.44536293026781</v>
      </c>
      <c r="L140" s="1190" t="n">
        <f aca="false">J140*K140</f>
        <v>1511.10561177258</v>
      </c>
      <c r="M140" s="1191" t="str">
        <f aca="false">IF(MONTH($A140)=12,SUM(L129:L140)," ")</f>
        <v> </v>
      </c>
    </row>
    <row r="141" customFormat="false" ht="12.75" hidden="false" customHeight="false" outlineLevel="0" collapsed="false">
      <c r="A141" s="1182" t="n">
        <f aca="false">EDATE(A140,1)</f>
        <v>40878</v>
      </c>
      <c r="C141" s="1183" t="n">
        <f aca="false">A142-A141</f>
        <v>31</v>
      </c>
      <c r="D141" s="1184" t="n">
        <f aca="false">IF($A141&gt;Endyr,0,IF($A141&lt;Assm!$F$32,G141,Capacity*C141))</f>
        <v>3192690</v>
      </c>
      <c r="E141" s="1185" t="n">
        <f aca="false">IF($A141&gt;Endyr,0,Tariff_Cap)</f>
        <v>0.3351</v>
      </c>
      <c r="F141" s="1186" t="n">
        <f aca="false">D141*E141/1000</f>
        <v>1069.870419</v>
      </c>
      <c r="G141" s="1187" t="n">
        <f aca="false">[4]MMBTU!R164</f>
        <v>2092866.048</v>
      </c>
      <c r="H141" s="1185" t="n">
        <f aca="false">IF($A141&gt;Endyr,0,Tariff_Var)</f>
        <v>0.005</v>
      </c>
      <c r="I141" s="1186" t="n">
        <f aca="false">G141*H141/1000</f>
        <v>10.46433024</v>
      </c>
      <c r="J141" s="1188" t="n">
        <f aca="false">SUM(F141,I141)</f>
        <v>1080.33474924</v>
      </c>
      <c r="K141" s="1189" t="n">
        <f aca="false">VLOOKUP($A141,Curves_Table,Escalation!$P$291)</f>
        <v>1.44536293026781</v>
      </c>
      <c r="L141" s="1190" t="n">
        <f aca="false">J141*K141</f>
        <v>1561.47579883166</v>
      </c>
      <c r="M141" s="1191" t="n">
        <f aca="false">IF(MONTH($A141)=12,SUM(L130:L141)," ")</f>
        <v>18234.9521276381</v>
      </c>
    </row>
    <row r="142" customFormat="false" ht="12.75" hidden="false" customHeight="false" outlineLevel="0" collapsed="false">
      <c r="A142" s="1182" t="n">
        <f aca="false">EDATE(A141,1)</f>
        <v>40909</v>
      </c>
      <c r="C142" s="1183" t="n">
        <f aca="false">A143-A142</f>
        <v>31</v>
      </c>
      <c r="D142" s="1184" t="n">
        <f aca="false">IF($A142&gt;Endyr,0,IF($A142&lt;Assm!$F$32,G142,Capacity*C142))</f>
        <v>3192690</v>
      </c>
      <c r="E142" s="1185" t="n">
        <f aca="false">IF($A142&gt;Endyr,0,Tariff_Cap)</f>
        <v>0.3351</v>
      </c>
      <c r="F142" s="1186" t="n">
        <f aca="false">D142*E142/1000</f>
        <v>1069.870419</v>
      </c>
      <c r="G142" s="1187" t="n">
        <f aca="false">[4]MMBTU!R165</f>
        <v>2092866.048</v>
      </c>
      <c r="H142" s="1185" t="n">
        <f aca="false">IF($A142&gt;Endyr,0,Tariff_Var)</f>
        <v>0.005</v>
      </c>
      <c r="I142" s="1186" t="n">
        <f aca="false">G142*H142/1000</f>
        <v>10.46433024</v>
      </c>
      <c r="J142" s="1188" t="n">
        <f aca="false">SUM(F142,I142)</f>
        <v>1080.33474924</v>
      </c>
      <c r="K142" s="1189" t="n">
        <f aca="false">VLOOKUP($A142,Curves_Table,Escalation!$P$291)</f>
        <v>1.44536293026781</v>
      </c>
      <c r="L142" s="1190" t="n">
        <f aca="false">J142*K142</f>
        <v>1561.47579883166</v>
      </c>
      <c r="M142" s="1191" t="str">
        <f aca="false">IF(MONTH($A142)=12,SUM(L131:L142)," ")</f>
        <v> </v>
      </c>
    </row>
    <row r="143" customFormat="false" ht="12.75" hidden="false" customHeight="false" outlineLevel="0" collapsed="false">
      <c r="A143" s="1182" t="n">
        <f aca="false">EDATE(A142,1)</f>
        <v>40940</v>
      </c>
      <c r="C143" s="1183" t="n">
        <f aca="false">A144-A143</f>
        <v>29</v>
      </c>
      <c r="D143" s="1184" t="n">
        <f aca="false">IF($A143&gt;Endyr,0,IF($A143&lt;Assm!$F$32,G143,Capacity*C143))</f>
        <v>2986710</v>
      </c>
      <c r="E143" s="1185" t="n">
        <f aca="false">IF($A143&gt;Endyr,0,Tariff_Cap)</f>
        <v>0.3351</v>
      </c>
      <c r="F143" s="1186" t="n">
        <f aca="false">D143*E143/1000</f>
        <v>1000.846521</v>
      </c>
      <c r="G143" s="1187" t="n">
        <f aca="false">[4]MMBTU!R166</f>
        <v>1957842.432</v>
      </c>
      <c r="H143" s="1185" t="n">
        <f aca="false">IF($A143&gt;Endyr,0,Tariff_Var)</f>
        <v>0.005</v>
      </c>
      <c r="I143" s="1186" t="n">
        <f aca="false">G143*H143/1000</f>
        <v>9.78921216</v>
      </c>
      <c r="J143" s="1188" t="n">
        <f aca="false">SUM(F143,I143)</f>
        <v>1010.63573316</v>
      </c>
      <c r="K143" s="1189" t="n">
        <f aca="false">VLOOKUP($A143,Curves_Table,Escalation!$P$291)</f>
        <v>1.44536293026781</v>
      </c>
      <c r="L143" s="1190" t="n">
        <f aca="false">J143*K143</f>
        <v>1460.73542471349</v>
      </c>
      <c r="M143" s="1191" t="str">
        <f aca="false">IF(MONTH($A143)=12,SUM(L132:L143)," ")</f>
        <v> </v>
      </c>
    </row>
    <row r="144" customFormat="false" ht="12.75" hidden="false" customHeight="false" outlineLevel="0" collapsed="false">
      <c r="A144" s="1182" t="n">
        <f aca="false">EDATE(A143,1)</f>
        <v>40969</v>
      </c>
      <c r="C144" s="1183" t="n">
        <f aca="false">A145-A144</f>
        <v>31</v>
      </c>
      <c r="D144" s="1184" t="n">
        <f aca="false">IF($A144&gt;Endyr,0,IF($A144&lt;Assm!$F$32,G144,Capacity*C144))</f>
        <v>3192690</v>
      </c>
      <c r="E144" s="1185" t="n">
        <f aca="false">IF($A144&gt;Endyr,0,Tariff_Cap)</f>
        <v>0.3351</v>
      </c>
      <c r="F144" s="1186" t="n">
        <f aca="false">D144*E144/1000</f>
        <v>1069.870419</v>
      </c>
      <c r="G144" s="1187" t="n">
        <f aca="false">[4]MMBTU!R167</f>
        <v>2092866.048</v>
      </c>
      <c r="H144" s="1185" t="n">
        <f aca="false">IF($A144&gt;Endyr,0,Tariff_Var)</f>
        <v>0.005</v>
      </c>
      <c r="I144" s="1186" t="n">
        <f aca="false">G144*H144/1000</f>
        <v>10.46433024</v>
      </c>
      <c r="J144" s="1188" t="n">
        <f aca="false">SUM(F144,I144)</f>
        <v>1080.33474924</v>
      </c>
      <c r="K144" s="1189" t="n">
        <f aca="false">VLOOKUP($A144,Curves_Table,Escalation!$P$291)</f>
        <v>1.44536293026781</v>
      </c>
      <c r="L144" s="1190" t="n">
        <f aca="false">J144*K144</f>
        <v>1561.47579883166</v>
      </c>
      <c r="M144" s="1191" t="str">
        <f aca="false">IF(MONTH($A144)=12,SUM(L133:L144)," ")</f>
        <v> </v>
      </c>
    </row>
    <row r="145" customFormat="false" ht="12.75" hidden="false" customHeight="false" outlineLevel="0" collapsed="false">
      <c r="A145" s="1182" t="n">
        <f aca="false">EDATE(A144,1)</f>
        <v>41000</v>
      </c>
      <c r="C145" s="1183" t="n">
        <f aca="false">A146-A145</f>
        <v>30</v>
      </c>
      <c r="D145" s="1184" t="n">
        <f aca="false">IF($A145&gt;Endyr,0,IF($A145&lt;Assm!$F$32,G145,Capacity*C145))</f>
        <v>3089700</v>
      </c>
      <c r="E145" s="1185" t="n">
        <f aca="false">IF($A145&gt;Endyr,0,Tariff_Cap)</f>
        <v>0.3351</v>
      </c>
      <c r="F145" s="1186" t="n">
        <f aca="false">D145*E145/1000</f>
        <v>1035.35847</v>
      </c>
      <c r="G145" s="1187" t="n">
        <f aca="false">[4]MMBTU!R168</f>
        <v>2025354.24</v>
      </c>
      <c r="H145" s="1185" t="n">
        <f aca="false">IF($A145&gt;Endyr,0,Tariff_Var)</f>
        <v>0.005</v>
      </c>
      <c r="I145" s="1186" t="n">
        <f aca="false">G145*H145/1000</f>
        <v>10.1267712</v>
      </c>
      <c r="J145" s="1188" t="n">
        <f aca="false">SUM(F145,I145)</f>
        <v>1045.4852412</v>
      </c>
      <c r="K145" s="1189" t="n">
        <f aca="false">VLOOKUP($A145,Curves_Table,Escalation!$P$291)</f>
        <v>1.44536293026781</v>
      </c>
      <c r="L145" s="1190" t="n">
        <f aca="false">J145*K145</f>
        <v>1511.10561177258</v>
      </c>
      <c r="M145" s="1191" t="str">
        <f aca="false">IF(MONTH($A145)=12,SUM(L134:L145)," ")</f>
        <v> </v>
      </c>
    </row>
    <row r="146" customFormat="false" ht="12.75" hidden="false" customHeight="false" outlineLevel="0" collapsed="false">
      <c r="A146" s="1182" t="n">
        <f aca="false">EDATE(A145,1)</f>
        <v>41030</v>
      </c>
      <c r="C146" s="1183" t="n">
        <f aca="false">A147-A146</f>
        <v>31</v>
      </c>
      <c r="D146" s="1184" t="n">
        <f aca="false">IF($A146&gt;Endyr,0,IF($A146&lt;Assm!$F$32,G146,Capacity*C146))</f>
        <v>3192690</v>
      </c>
      <c r="E146" s="1185" t="n">
        <f aca="false">IF($A146&gt;Endyr,0,Tariff_Cap)</f>
        <v>0.3351</v>
      </c>
      <c r="F146" s="1186" t="n">
        <f aca="false">D146*E146/1000</f>
        <v>1069.870419</v>
      </c>
      <c r="G146" s="1187" t="n">
        <f aca="false">[4]MMBTU!R169</f>
        <v>2092866.048</v>
      </c>
      <c r="H146" s="1185" t="n">
        <f aca="false">IF($A146&gt;Endyr,0,Tariff_Var)</f>
        <v>0.005</v>
      </c>
      <c r="I146" s="1186" t="n">
        <f aca="false">G146*H146/1000</f>
        <v>10.46433024</v>
      </c>
      <c r="J146" s="1188" t="n">
        <f aca="false">SUM(F146,I146)</f>
        <v>1080.33474924</v>
      </c>
      <c r="K146" s="1189" t="n">
        <f aca="false">VLOOKUP($A146,Curves_Table,Escalation!$P$291)</f>
        <v>1.48180861051097</v>
      </c>
      <c r="L146" s="1190" t="n">
        <f aca="false">J146*K146</f>
        <v>1600.84933365804</v>
      </c>
      <c r="M146" s="1191" t="str">
        <f aca="false">IF(MONTH($A146)=12,SUM(L135:L146)," ")</f>
        <v> </v>
      </c>
    </row>
    <row r="147" customFormat="false" ht="12.75" hidden="false" customHeight="false" outlineLevel="0" collapsed="false">
      <c r="A147" s="1182" t="n">
        <f aca="false">EDATE(A146,1)</f>
        <v>41061</v>
      </c>
      <c r="C147" s="1183" t="n">
        <f aca="false">A148-A147</f>
        <v>30</v>
      </c>
      <c r="D147" s="1184" t="n">
        <f aca="false">IF($A147&gt;Endyr,0,IF($A147&lt;Assm!$F$32,G147,Capacity*C147))</f>
        <v>3089700</v>
      </c>
      <c r="E147" s="1185" t="n">
        <f aca="false">IF($A147&gt;Endyr,0,Tariff_Cap)</f>
        <v>0.3351</v>
      </c>
      <c r="F147" s="1186" t="n">
        <f aca="false">D147*E147/1000</f>
        <v>1035.35847</v>
      </c>
      <c r="G147" s="1187" t="n">
        <f aca="false">[4]MMBTU!R170</f>
        <v>2025354.24</v>
      </c>
      <c r="H147" s="1185" t="n">
        <f aca="false">IF($A147&gt;Endyr,0,Tariff_Var)</f>
        <v>0.005</v>
      </c>
      <c r="I147" s="1186" t="n">
        <f aca="false">G147*H147/1000</f>
        <v>10.1267712</v>
      </c>
      <c r="J147" s="1188" t="n">
        <f aca="false">SUM(F147,I147)</f>
        <v>1045.4852412</v>
      </c>
      <c r="K147" s="1189" t="n">
        <f aca="false">VLOOKUP($A147,Curves_Table,Escalation!$P$291)</f>
        <v>1.48180861051097</v>
      </c>
      <c r="L147" s="1190" t="n">
        <f aca="false">J147*K147</f>
        <v>1549.2090325723</v>
      </c>
      <c r="M147" s="1191" t="str">
        <f aca="false">IF(MONTH($A147)=12,SUM(L136:L147)," ")</f>
        <v> </v>
      </c>
    </row>
    <row r="148" customFormat="false" ht="12.75" hidden="false" customHeight="false" outlineLevel="0" collapsed="false">
      <c r="A148" s="1182" t="n">
        <f aca="false">EDATE(A147,1)</f>
        <v>41091</v>
      </c>
      <c r="C148" s="1183" t="n">
        <f aca="false">A149-A148</f>
        <v>31</v>
      </c>
      <c r="D148" s="1184" t="n">
        <f aca="false">IF($A148&gt;Endyr,0,IF($A148&lt;Assm!$F$32,G148,Capacity*C148))</f>
        <v>3192690</v>
      </c>
      <c r="E148" s="1185" t="n">
        <f aca="false">IF($A148&gt;Endyr,0,Tariff_Cap)</f>
        <v>0.3351</v>
      </c>
      <c r="F148" s="1186" t="n">
        <f aca="false">D148*E148/1000</f>
        <v>1069.870419</v>
      </c>
      <c r="G148" s="1187" t="n">
        <f aca="false">[4]MMBTU!R171</f>
        <v>2092866.048</v>
      </c>
      <c r="H148" s="1185" t="n">
        <f aca="false">IF($A148&gt;Endyr,0,Tariff_Var)</f>
        <v>0.005</v>
      </c>
      <c r="I148" s="1186" t="n">
        <f aca="false">G148*H148/1000</f>
        <v>10.46433024</v>
      </c>
      <c r="J148" s="1188" t="n">
        <f aca="false">SUM(F148,I148)</f>
        <v>1080.33474924</v>
      </c>
      <c r="K148" s="1189" t="n">
        <f aca="false">VLOOKUP($A148,Curves_Table,Escalation!$P$291)</f>
        <v>1.48180861051097</v>
      </c>
      <c r="L148" s="1190" t="n">
        <f aca="false">J148*K148</f>
        <v>1600.84933365804</v>
      </c>
      <c r="M148" s="1191" t="str">
        <f aca="false">IF(MONTH($A148)=12,SUM(L137:L148)," ")</f>
        <v> </v>
      </c>
    </row>
    <row r="149" customFormat="false" ht="12.75" hidden="false" customHeight="false" outlineLevel="0" collapsed="false">
      <c r="A149" s="1182" t="n">
        <f aca="false">EDATE(A148,1)</f>
        <v>41122</v>
      </c>
      <c r="C149" s="1183" t="n">
        <f aca="false">A150-A149</f>
        <v>31</v>
      </c>
      <c r="D149" s="1184" t="n">
        <f aca="false">IF($A149&gt;Endyr,0,IF($A149&lt;Assm!$F$32,G149,Capacity*C149))</f>
        <v>3192690</v>
      </c>
      <c r="E149" s="1185" t="n">
        <f aca="false">IF($A149&gt;Endyr,0,Tariff_Cap)</f>
        <v>0.3351</v>
      </c>
      <c r="F149" s="1186" t="n">
        <f aca="false">D149*E149/1000</f>
        <v>1069.870419</v>
      </c>
      <c r="G149" s="1187" t="n">
        <f aca="false">[4]MMBTU!R172</f>
        <v>2092866.048</v>
      </c>
      <c r="H149" s="1185" t="n">
        <f aca="false">IF($A149&gt;Endyr,0,Tariff_Var)</f>
        <v>0.005</v>
      </c>
      <c r="I149" s="1186" t="n">
        <f aca="false">G149*H149/1000</f>
        <v>10.46433024</v>
      </c>
      <c r="J149" s="1188" t="n">
        <f aca="false">SUM(F149,I149)</f>
        <v>1080.33474924</v>
      </c>
      <c r="K149" s="1189" t="n">
        <f aca="false">VLOOKUP($A149,Curves_Table,Escalation!$P$291)</f>
        <v>1.48180861051097</v>
      </c>
      <c r="L149" s="1190" t="n">
        <f aca="false">J149*K149</f>
        <v>1600.84933365804</v>
      </c>
      <c r="M149" s="1191" t="str">
        <f aca="false">IF(MONTH($A149)=12,SUM(L138:L149)," ")</f>
        <v> </v>
      </c>
    </row>
    <row r="150" customFormat="false" ht="12.75" hidden="false" customHeight="false" outlineLevel="0" collapsed="false">
      <c r="A150" s="1182" t="n">
        <f aca="false">EDATE(A149,1)</f>
        <v>41153</v>
      </c>
      <c r="C150" s="1183" t="n">
        <f aca="false">A151-A150</f>
        <v>30</v>
      </c>
      <c r="D150" s="1184" t="n">
        <f aca="false">IF($A150&gt;Endyr,0,IF($A150&lt;Assm!$F$32,G150,Capacity*C150))</f>
        <v>3089700</v>
      </c>
      <c r="E150" s="1185" t="n">
        <f aca="false">IF($A150&gt;Endyr,0,Tariff_Cap)</f>
        <v>0.3351</v>
      </c>
      <c r="F150" s="1186" t="n">
        <f aca="false">D150*E150/1000</f>
        <v>1035.35847</v>
      </c>
      <c r="G150" s="1187" t="n">
        <f aca="false">[4]MMBTU!R173</f>
        <v>2025354.24</v>
      </c>
      <c r="H150" s="1185" t="n">
        <f aca="false">IF($A150&gt;Endyr,0,Tariff_Var)</f>
        <v>0.005</v>
      </c>
      <c r="I150" s="1186" t="n">
        <f aca="false">G150*H150/1000</f>
        <v>10.1267712</v>
      </c>
      <c r="J150" s="1188" t="n">
        <f aca="false">SUM(F150,I150)</f>
        <v>1045.4852412</v>
      </c>
      <c r="K150" s="1189" t="n">
        <f aca="false">VLOOKUP($A150,Curves_Table,Escalation!$P$291)</f>
        <v>1.48180861051097</v>
      </c>
      <c r="L150" s="1190" t="n">
        <f aca="false">J150*K150</f>
        <v>1549.2090325723</v>
      </c>
      <c r="M150" s="1191" t="str">
        <f aca="false">IF(MONTH($A150)=12,SUM(L139:L150)," ")</f>
        <v> </v>
      </c>
    </row>
    <row r="151" customFormat="false" ht="12.75" hidden="false" customHeight="false" outlineLevel="0" collapsed="false">
      <c r="A151" s="1182" t="n">
        <f aca="false">EDATE(A150,1)</f>
        <v>41183</v>
      </c>
      <c r="C151" s="1183" t="n">
        <f aca="false">A152-A151</f>
        <v>31</v>
      </c>
      <c r="D151" s="1184" t="n">
        <f aca="false">IF($A151&gt;Endyr,0,IF($A151&lt;Assm!$F$32,G151,Capacity*C151))</f>
        <v>3192690</v>
      </c>
      <c r="E151" s="1185" t="n">
        <f aca="false">IF($A151&gt;Endyr,0,Tariff_Cap)</f>
        <v>0.3351</v>
      </c>
      <c r="F151" s="1186" t="n">
        <f aca="false">D151*E151/1000</f>
        <v>1069.870419</v>
      </c>
      <c r="G151" s="1187" t="n">
        <f aca="false">[4]MMBTU!R174</f>
        <v>2092866.048</v>
      </c>
      <c r="H151" s="1185" t="n">
        <f aca="false">IF($A151&gt;Endyr,0,Tariff_Var)</f>
        <v>0.005</v>
      </c>
      <c r="I151" s="1186" t="n">
        <f aca="false">G151*H151/1000</f>
        <v>10.46433024</v>
      </c>
      <c r="J151" s="1188" t="n">
        <f aca="false">SUM(F151,I151)</f>
        <v>1080.33474924</v>
      </c>
      <c r="K151" s="1189" t="n">
        <f aca="false">VLOOKUP($A151,Curves_Table,Escalation!$P$291)</f>
        <v>1.48180861051097</v>
      </c>
      <c r="L151" s="1190" t="n">
        <f aca="false">J151*K151</f>
        <v>1600.84933365804</v>
      </c>
      <c r="M151" s="1191" t="str">
        <f aca="false">IF(MONTH($A151)=12,SUM(L140:L151)," ")</f>
        <v> </v>
      </c>
    </row>
    <row r="152" customFormat="false" ht="12.75" hidden="false" customHeight="false" outlineLevel="0" collapsed="false">
      <c r="A152" s="1182" t="n">
        <f aca="false">EDATE(A151,1)</f>
        <v>41214</v>
      </c>
      <c r="C152" s="1183" t="n">
        <f aca="false">A153-A152</f>
        <v>30</v>
      </c>
      <c r="D152" s="1184" t="n">
        <f aca="false">IF($A152&gt;Endyr,0,IF($A152&lt;Assm!$F$32,G152,Capacity*C152))</f>
        <v>3089700</v>
      </c>
      <c r="E152" s="1185" t="n">
        <f aca="false">IF($A152&gt;Endyr,0,Tariff_Cap)</f>
        <v>0.3351</v>
      </c>
      <c r="F152" s="1186" t="n">
        <f aca="false">D152*E152/1000</f>
        <v>1035.35847</v>
      </c>
      <c r="G152" s="1187" t="n">
        <f aca="false">[4]MMBTU!R175</f>
        <v>2025354.24</v>
      </c>
      <c r="H152" s="1185" t="n">
        <f aca="false">IF($A152&gt;Endyr,0,Tariff_Var)</f>
        <v>0.005</v>
      </c>
      <c r="I152" s="1186" t="n">
        <f aca="false">G152*H152/1000</f>
        <v>10.1267712</v>
      </c>
      <c r="J152" s="1188" t="n">
        <f aca="false">SUM(F152,I152)</f>
        <v>1045.4852412</v>
      </c>
      <c r="K152" s="1189" t="n">
        <f aca="false">VLOOKUP($A152,Curves_Table,Escalation!$P$291)</f>
        <v>1.48180861051097</v>
      </c>
      <c r="L152" s="1190" t="n">
        <f aca="false">J152*K152</f>
        <v>1549.2090325723</v>
      </c>
      <c r="M152" s="1191" t="str">
        <f aca="false">IF(MONTH($A152)=12,SUM(L141:L152)," ")</f>
        <v> </v>
      </c>
    </row>
    <row r="153" customFormat="false" ht="12.75" hidden="false" customHeight="false" outlineLevel="0" collapsed="false">
      <c r="A153" s="1182" t="n">
        <f aca="false">EDATE(A152,1)</f>
        <v>41244</v>
      </c>
      <c r="C153" s="1183" t="n">
        <f aca="false">A154-A153</f>
        <v>31</v>
      </c>
      <c r="D153" s="1184" t="n">
        <f aca="false">IF($A153&gt;Endyr,0,IF($A153&lt;Assm!$F$32,G153,Capacity*C153))</f>
        <v>3192690</v>
      </c>
      <c r="E153" s="1185" t="n">
        <f aca="false">IF($A153&gt;Endyr,0,Tariff_Cap)</f>
        <v>0.3351</v>
      </c>
      <c r="F153" s="1186" t="n">
        <f aca="false">D153*E153/1000</f>
        <v>1069.870419</v>
      </c>
      <c r="G153" s="1187" t="n">
        <f aca="false">[4]MMBTU!R176</f>
        <v>2092866.048</v>
      </c>
      <c r="H153" s="1185" t="n">
        <f aca="false">IF($A153&gt;Endyr,0,Tariff_Var)</f>
        <v>0.005</v>
      </c>
      <c r="I153" s="1186" t="n">
        <f aca="false">G153*H153/1000</f>
        <v>10.46433024</v>
      </c>
      <c r="J153" s="1188" t="n">
        <f aca="false">SUM(F153,I153)</f>
        <v>1080.33474924</v>
      </c>
      <c r="K153" s="1189" t="n">
        <f aca="false">VLOOKUP($A153,Curves_Table,Escalation!$P$291)</f>
        <v>1.48180861051097</v>
      </c>
      <c r="L153" s="1190" t="n">
        <f aca="false">J153*K153</f>
        <v>1600.84933365804</v>
      </c>
      <c r="M153" s="1191" t="n">
        <f aca="false">IF(MONTH($A153)=12,SUM(L142:L153)," ")</f>
        <v>18746.6664001565</v>
      </c>
    </row>
    <row r="154" customFormat="false" ht="12.75" hidden="false" customHeight="false" outlineLevel="0" collapsed="false">
      <c r="A154" s="1182" t="n">
        <f aca="false">EDATE(A153,1)</f>
        <v>41275</v>
      </c>
      <c r="C154" s="1183" t="n">
        <f aca="false">A155-A154</f>
        <v>31</v>
      </c>
      <c r="D154" s="1184" t="n">
        <f aca="false">IF($A154&gt;Endyr,0,IF($A154&lt;Assm!$F$32,G154,Capacity*C154))</f>
        <v>3192690</v>
      </c>
      <c r="E154" s="1185" t="n">
        <f aca="false">IF($A154&gt;Endyr,0,Tariff_Cap)</f>
        <v>0.3351</v>
      </c>
      <c r="F154" s="1186" t="n">
        <f aca="false">D154*E154/1000</f>
        <v>1069.870419</v>
      </c>
      <c r="G154" s="1187" t="n">
        <f aca="false">[4]MMBTU!R177</f>
        <v>2092866.048</v>
      </c>
      <c r="H154" s="1185" t="n">
        <f aca="false">IF($A154&gt;Endyr,0,Tariff_Var)</f>
        <v>0.005</v>
      </c>
      <c r="I154" s="1186" t="n">
        <f aca="false">G154*H154/1000</f>
        <v>10.46433024</v>
      </c>
      <c r="J154" s="1188" t="n">
        <f aca="false">SUM(F154,I154)</f>
        <v>1080.33474924</v>
      </c>
      <c r="K154" s="1189" t="n">
        <f aca="false">VLOOKUP($A154,Curves_Table,Escalation!$P$291)</f>
        <v>1.48180861051097</v>
      </c>
      <c r="L154" s="1190" t="n">
        <f aca="false">J154*K154</f>
        <v>1600.84933365804</v>
      </c>
      <c r="M154" s="1191" t="str">
        <f aca="false">IF(MONTH($A154)=12,SUM(L143:L154)," ")</f>
        <v> </v>
      </c>
    </row>
    <row r="155" customFormat="false" ht="12.75" hidden="false" customHeight="false" outlineLevel="0" collapsed="false">
      <c r="A155" s="1182" t="n">
        <f aca="false">EDATE(A154,1)</f>
        <v>41306</v>
      </c>
      <c r="C155" s="1183" t="n">
        <f aca="false">A156-A155</f>
        <v>28</v>
      </c>
      <c r="D155" s="1184" t="n">
        <f aca="false">IF($A155&gt;Endyr,0,IF($A155&lt;Assm!$F$32,G155,Capacity*C155))</f>
        <v>2883720</v>
      </c>
      <c r="E155" s="1185" t="n">
        <f aca="false">IF($A155&gt;Endyr,0,Tariff_Cap)</f>
        <v>0.3351</v>
      </c>
      <c r="F155" s="1186" t="n">
        <f aca="false">D155*E155/1000</f>
        <v>966.334572</v>
      </c>
      <c r="G155" s="1187" t="n">
        <f aca="false">[4]MMBTU!R178</f>
        <v>1890330.624</v>
      </c>
      <c r="H155" s="1185" t="n">
        <f aca="false">IF($A155&gt;Endyr,0,Tariff_Var)</f>
        <v>0.005</v>
      </c>
      <c r="I155" s="1186" t="n">
        <f aca="false">G155*H155/1000</f>
        <v>9.45165312</v>
      </c>
      <c r="J155" s="1188" t="n">
        <f aca="false">SUM(F155,I155)</f>
        <v>975.78622512</v>
      </c>
      <c r="K155" s="1189" t="n">
        <f aca="false">VLOOKUP($A155,Curves_Table,Escalation!$P$291)</f>
        <v>1.48180861051097</v>
      </c>
      <c r="L155" s="1190" t="n">
        <f aca="false">J155*K155</f>
        <v>1445.92843040081</v>
      </c>
      <c r="M155" s="1191" t="str">
        <f aca="false">IF(MONTH($A155)=12,SUM(L144:L155)," ")</f>
        <v> </v>
      </c>
    </row>
    <row r="156" customFormat="false" ht="12.75" hidden="false" customHeight="false" outlineLevel="0" collapsed="false">
      <c r="A156" s="1182" t="n">
        <f aca="false">EDATE(A155,1)</f>
        <v>41334</v>
      </c>
      <c r="C156" s="1183" t="n">
        <f aca="false">A157-A156</f>
        <v>31</v>
      </c>
      <c r="D156" s="1184" t="n">
        <f aca="false">IF($A156&gt;Endyr,0,IF($A156&lt;Assm!$F$32,G156,Capacity*C156))</f>
        <v>3192690</v>
      </c>
      <c r="E156" s="1185" t="n">
        <f aca="false">IF($A156&gt;Endyr,0,Tariff_Cap)</f>
        <v>0.3351</v>
      </c>
      <c r="F156" s="1186" t="n">
        <f aca="false">D156*E156/1000</f>
        <v>1069.870419</v>
      </c>
      <c r="G156" s="1187" t="n">
        <f aca="false">[4]MMBTU!R179</f>
        <v>2092866.048</v>
      </c>
      <c r="H156" s="1185" t="n">
        <f aca="false">IF($A156&gt;Endyr,0,Tariff_Var)</f>
        <v>0.005</v>
      </c>
      <c r="I156" s="1186" t="n">
        <f aca="false">G156*H156/1000</f>
        <v>10.46433024</v>
      </c>
      <c r="J156" s="1188" t="n">
        <f aca="false">SUM(F156,I156)</f>
        <v>1080.33474924</v>
      </c>
      <c r="K156" s="1189" t="n">
        <f aca="false">VLOOKUP($A156,Curves_Table,Escalation!$P$291)</f>
        <v>1.48180861051097</v>
      </c>
      <c r="L156" s="1190" t="n">
        <f aca="false">J156*K156</f>
        <v>1600.84933365804</v>
      </c>
      <c r="M156" s="1191" t="str">
        <f aca="false">IF(MONTH($A156)=12,SUM(L145:L156)," ")</f>
        <v> </v>
      </c>
    </row>
    <row r="157" customFormat="false" ht="12.75" hidden="false" customHeight="false" outlineLevel="0" collapsed="false">
      <c r="A157" s="1182" t="n">
        <f aca="false">EDATE(A156,1)</f>
        <v>41365</v>
      </c>
      <c r="C157" s="1183" t="n">
        <f aca="false">A158-A157</f>
        <v>30</v>
      </c>
      <c r="D157" s="1184" t="n">
        <f aca="false">IF($A157&gt;Endyr,0,IF($A157&lt;Assm!$F$32,G157,Capacity*C157))</f>
        <v>3089700</v>
      </c>
      <c r="E157" s="1185" t="n">
        <f aca="false">IF($A157&gt;Endyr,0,Tariff_Cap)</f>
        <v>0.3351</v>
      </c>
      <c r="F157" s="1186" t="n">
        <f aca="false">D157*E157/1000</f>
        <v>1035.35847</v>
      </c>
      <c r="G157" s="1187" t="n">
        <f aca="false">[4]MMBTU!R180</f>
        <v>2025354.24</v>
      </c>
      <c r="H157" s="1185" t="n">
        <f aca="false">IF($A157&gt;Endyr,0,Tariff_Var)</f>
        <v>0.005</v>
      </c>
      <c r="I157" s="1186" t="n">
        <f aca="false">G157*H157/1000</f>
        <v>10.1267712</v>
      </c>
      <c r="J157" s="1188" t="n">
        <f aca="false">SUM(F157,I157)</f>
        <v>1045.4852412</v>
      </c>
      <c r="K157" s="1189" t="n">
        <f aca="false">VLOOKUP($A157,Curves_Table,Escalation!$P$291)</f>
        <v>1.48180861051097</v>
      </c>
      <c r="L157" s="1190" t="n">
        <f aca="false">J157*K157</f>
        <v>1549.2090325723</v>
      </c>
      <c r="M157" s="1191" t="str">
        <f aca="false">IF(MONTH($A157)=12,SUM(L146:L157)," ")</f>
        <v> </v>
      </c>
    </row>
    <row r="158" customFormat="false" ht="12.75" hidden="false" customHeight="false" outlineLevel="0" collapsed="false">
      <c r="A158" s="1182" t="n">
        <f aca="false">EDATE(A157,1)</f>
        <v>41395</v>
      </c>
      <c r="C158" s="1183" t="n">
        <f aca="false">A159-A158</f>
        <v>31</v>
      </c>
      <c r="D158" s="1184" t="n">
        <f aca="false">IF($A158&gt;Endyr,0,IF($A158&lt;Assm!$F$32,G158,Capacity*C158))</f>
        <v>3192690</v>
      </c>
      <c r="E158" s="1185" t="n">
        <f aca="false">IF($A158&gt;Endyr,0,Tariff_Cap)</f>
        <v>0.3351</v>
      </c>
      <c r="F158" s="1186" t="n">
        <f aca="false">D158*E158/1000</f>
        <v>1069.870419</v>
      </c>
      <c r="G158" s="1187" t="n">
        <f aca="false">[4]MMBTU!R181</f>
        <v>2092866.048</v>
      </c>
      <c r="H158" s="1185" t="n">
        <f aca="false">IF($A158&gt;Endyr,0,Tariff_Var)</f>
        <v>0.005</v>
      </c>
      <c r="I158" s="1186" t="n">
        <f aca="false">G158*H158/1000</f>
        <v>10.46433024</v>
      </c>
      <c r="J158" s="1188" t="n">
        <f aca="false">SUM(F158,I158)</f>
        <v>1080.33474924</v>
      </c>
      <c r="K158" s="1189" t="n">
        <f aca="false">VLOOKUP($A158,Curves_Table,Escalation!$P$291)</f>
        <v>1.51901070889322</v>
      </c>
      <c r="L158" s="1190" t="n">
        <f aca="false">J158*K158</f>
        <v>1641.04005328503</v>
      </c>
      <c r="M158" s="1191" t="str">
        <f aca="false">IF(MONTH($A158)=12,SUM(L147:L158)," ")</f>
        <v> </v>
      </c>
    </row>
    <row r="159" customFormat="false" ht="12.75" hidden="false" customHeight="false" outlineLevel="0" collapsed="false">
      <c r="A159" s="1182" t="n">
        <f aca="false">EDATE(A158,1)</f>
        <v>41426</v>
      </c>
      <c r="C159" s="1183" t="n">
        <f aca="false">A160-A159</f>
        <v>30</v>
      </c>
      <c r="D159" s="1184" t="n">
        <f aca="false">IF($A159&gt;Endyr,0,IF($A159&lt;Assm!$F$32,G159,Capacity*C159))</f>
        <v>3089700</v>
      </c>
      <c r="E159" s="1185" t="n">
        <f aca="false">IF($A159&gt;Endyr,0,Tariff_Cap)</f>
        <v>0.3351</v>
      </c>
      <c r="F159" s="1186" t="n">
        <f aca="false">D159*E159/1000</f>
        <v>1035.35847</v>
      </c>
      <c r="G159" s="1187" t="n">
        <f aca="false">[4]MMBTU!R182</f>
        <v>2025354.24</v>
      </c>
      <c r="H159" s="1185" t="n">
        <f aca="false">IF($A159&gt;Endyr,0,Tariff_Var)</f>
        <v>0.005</v>
      </c>
      <c r="I159" s="1186" t="n">
        <f aca="false">G159*H159/1000</f>
        <v>10.1267712</v>
      </c>
      <c r="J159" s="1188" t="n">
        <f aca="false">SUM(F159,I159)</f>
        <v>1045.4852412</v>
      </c>
      <c r="K159" s="1189" t="n">
        <f aca="false">VLOOKUP($A159,Curves_Table,Escalation!$P$291)</f>
        <v>1.51901070889322</v>
      </c>
      <c r="L159" s="1190" t="n">
        <f aca="false">J159*K159</f>
        <v>1588.10327737261</v>
      </c>
      <c r="M159" s="1191" t="str">
        <f aca="false">IF(MONTH($A159)=12,SUM(L148:L159)," ")</f>
        <v> </v>
      </c>
    </row>
    <row r="160" customFormat="false" ht="12.75" hidden="false" customHeight="false" outlineLevel="0" collapsed="false">
      <c r="A160" s="1182" t="n">
        <f aca="false">EDATE(A159,1)</f>
        <v>41456</v>
      </c>
      <c r="C160" s="1183" t="n">
        <f aca="false">A161-A160</f>
        <v>31</v>
      </c>
      <c r="D160" s="1184" t="n">
        <f aca="false">IF($A160&gt;Endyr,0,IF($A160&lt;Assm!$F$32,G160,Capacity*C160))</f>
        <v>3192690</v>
      </c>
      <c r="E160" s="1185" t="n">
        <f aca="false">IF($A160&gt;Endyr,0,Tariff_Cap)</f>
        <v>0.3351</v>
      </c>
      <c r="F160" s="1186" t="n">
        <f aca="false">D160*E160/1000</f>
        <v>1069.870419</v>
      </c>
      <c r="G160" s="1187" t="n">
        <f aca="false">[4]MMBTU!R183</f>
        <v>2092866.048</v>
      </c>
      <c r="H160" s="1185" t="n">
        <f aca="false">IF($A160&gt;Endyr,0,Tariff_Var)</f>
        <v>0.005</v>
      </c>
      <c r="I160" s="1186" t="n">
        <f aca="false">G160*H160/1000</f>
        <v>10.46433024</v>
      </c>
      <c r="J160" s="1188" t="n">
        <f aca="false">SUM(F160,I160)</f>
        <v>1080.33474924</v>
      </c>
      <c r="K160" s="1189" t="n">
        <f aca="false">VLOOKUP($A160,Curves_Table,Escalation!$P$291)</f>
        <v>1.51901070889322</v>
      </c>
      <c r="L160" s="1190" t="n">
        <f aca="false">J160*K160</f>
        <v>1641.04005328503</v>
      </c>
      <c r="M160" s="1191" t="str">
        <f aca="false">IF(MONTH($A160)=12,SUM(L149:L160)," ")</f>
        <v> </v>
      </c>
    </row>
    <row r="161" customFormat="false" ht="12.75" hidden="false" customHeight="false" outlineLevel="0" collapsed="false">
      <c r="A161" s="1182" t="n">
        <f aca="false">EDATE(A160,1)</f>
        <v>41487</v>
      </c>
      <c r="C161" s="1183" t="n">
        <f aca="false">A162-A161</f>
        <v>31</v>
      </c>
      <c r="D161" s="1184" t="n">
        <f aca="false">IF($A161&gt;Endyr,0,IF($A161&lt;Assm!$F$32,G161,Capacity*C161))</f>
        <v>3192690</v>
      </c>
      <c r="E161" s="1185" t="n">
        <f aca="false">IF($A161&gt;Endyr,0,Tariff_Cap)</f>
        <v>0.3351</v>
      </c>
      <c r="F161" s="1186" t="n">
        <f aca="false">D161*E161/1000</f>
        <v>1069.870419</v>
      </c>
      <c r="G161" s="1187" t="n">
        <f aca="false">[4]MMBTU!R184</f>
        <v>2092866.048</v>
      </c>
      <c r="H161" s="1185" t="n">
        <f aca="false">IF($A161&gt;Endyr,0,Tariff_Var)</f>
        <v>0.005</v>
      </c>
      <c r="I161" s="1186" t="n">
        <f aca="false">G161*H161/1000</f>
        <v>10.46433024</v>
      </c>
      <c r="J161" s="1188" t="n">
        <f aca="false">SUM(F161,I161)</f>
        <v>1080.33474924</v>
      </c>
      <c r="K161" s="1189" t="n">
        <f aca="false">VLOOKUP($A161,Curves_Table,Escalation!$P$291)</f>
        <v>1.51901070889322</v>
      </c>
      <c r="L161" s="1190" t="n">
        <f aca="false">J161*K161</f>
        <v>1641.04005328503</v>
      </c>
      <c r="M161" s="1191" t="str">
        <f aca="false">IF(MONTH($A161)=12,SUM(L150:L161)," ")</f>
        <v> </v>
      </c>
    </row>
    <row r="162" customFormat="false" ht="12.75" hidden="false" customHeight="false" outlineLevel="0" collapsed="false">
      <c r="A162" s="1182" t="n">
        <f aca="false">EDATE(A161,1)</f>
        <v>41518</v>
      </c>
      <c r="C162" s="1183" t="n">
        <f aca="false">A163-A162</f>
        <v>30</v>
      </c>
      <c r="D162" s="1184" t="n">
        <f aca="false">IF($A162&gt;Endyr,0,IF($A162&lt;Assm!$F$32,G162,Capacity*C162))</f>
        <v>3089700</v>
      </c>
      <c r="E162" s="1185" t="n">
        <f aca="false">IF($A162&gt;Endyr,0,Tariff_Cap)</f>
        <v>0.3351</v>
      </c>
      <c r="F162" s="1186" t="n">
        <f aca="false">D162*E162/1000</f>
        <v>1035.35847</v>
      </c>
      <c r="G162" s="1187" t="n">
        <f aca="false">[4]MMBTU!R185</f>
        <v>2025354.24</v>
      </c>
      <c r="H162" s="1185" t="n">
        <f aca="false">IF($A162&gt;Endyr,0,Tariff_Var)</f>
        <v>0.005</v>
      </c>
      <c r="I162" s="1186" t="n">
        <f aca="false">G162*H162/1000</f>
        <v>10.1267712</v>
      </c>
      <c r="J162" s="1188" t="n">
        <f aca="false">SUM(F162,I162)</f>
        <v>1045.4852412</v>
      </c>
      <c r="K162" s="1189" t="n">
        <f aca="false">VLOOKUP($A162,Curves_Table,Escalation!$P$291)</f>
        <v>1.51901070889322</v>
      </c>
      <c r="L162" s="1190" t="n">
        <f aca="false">J162*K162</f>
        <v>1588.10327737261</v>
      </c>
      <c r="M162" s="1191" t="str">
        <f aca="false">IF(MONTH($A162)=12,SUM(L151:L162)," ")</f>
        <v> </v>
      </c>
    </row>
    <row r="163" customFormat="false" ht="12.75" hidden="false" customHeight="false" outlineLevel="0" collapsed="false">
      <c r="A163" s="1182" t="n">
        <f aca="false">EDATE(A162,1)</f>
        <v>41548</v>
      </c>
      <c r="C163" s="1183" t="n">
        <f aca="false">A164-A163</f>
        <v>31</v>
      </c>
      <c r="D163" s="1184" t="n">
        <f aca="false">IF($A163&gt;Endyr,0,IF($A163&lt;Assm!$F$32,G163,Capacity*C163))</f>
        <v>3192690</v>
      </c>
      <c r="E163" s="1185" t="n">
        <f aca="false">IF($A163&gt;Endyr,0,Tariff_Cap)</f>
        <v>0.3351</v>
      </c>
      <c r="F163" s="1186" t="n">
        <f aca="false">D163*E163/1000</f>
        <v>1069.870419</v>
      </c>
      <c r="G163" s="1187" t="n">
        <f aca="false">[4]MMBTU!R186</f>
        <v>2092866.048</v>
      </c>
      <c r="H163" s="1185" t="n">
        <f aca="false">IF($A163&gt;Endyr,0,Tariff_Var)</f>
        <v>0.005</v>
      </c>
      <c r="I163" s="1186" t="n">
        <f aca="false">G163*H163/1000</f>
        <v>10.46433024</v>
      </c>
      <c r="J163" s="1188" t="n">
        <f aca="false">SUM(F163,I163)</f>
        <v>1080.33474924</v>
      </c>
      <c r="K163" s="1189" t="n">
        <f aca="false">VLOOKUP($A163,Curves_Table,Escalation!$P$291)</f>
        <v>1.51901070889322</v>
      </c>
      <c r="L163" s="1190" t="n">
        <f aca="false">J163*K163</f>
        <v>1641.04005328503</v>
      </c>
      <c r="M163" s="1191" t="str">
        <f aca="false">IF(MONTH($A163)=12,SUM(L152:L163)," ")</f>
        <v> </v>
      </c>
    </row>
    <row r="164" customFormat="false" ht="12.75" hidden="false" customHeight="false" outlineLevel="0" collapsed="false">
      <c r="A164" s="1182" t="n">
        <f aca="false">EDATE(A163,1)</f>
        <v>41579</v>
      </c>
      <c r="C164" s="1183" t="n">
        <f aca="false">A165-A164</f>
        <v>30</v>
      </c>
      <c r="D164" s="1184" t="n">
        <f aca="false">IF($A164&gt;Endyr,0,IF($A164&lt;Assm!$F$32,G164,Capacity*C164))</f>
        <v>3089700</v>
      </c>
      <c r="E164" s="1185" t="n">
        <f aca="false">IF($A164&gt;Endyr,0,Tariff_Cap)</f>
        <v>0.3351</v>
      </c>
      <c r="F164" s="1186" t="n">
        <f aca="false">D164*E164/1000</f>
        <v>1035.35847</v>
      </c>
      <c r="G164" s="1187" t="n">
        <f aca="false">[4]MMBTU!R187</f>
        <v>2025354.24</v>
      </c>
      <c r="H164" s="1185" t="n">
        <f aca="false">IF($A164&gt;Endyr,0,Tariff_Var)</f>
        <v>0.005</v>
      </c>
      <c r="I164" s="1186" t="n">
        <f aca="false">G164*H164/1000</f>
        <v>10.1267712</v>
      </c>
      <c r="J164" s="1188" t="n">
        <f aca="false">SUM(F164,I164)</f>
        <v>1045.4852412</v>
      </c>
      <c r="K164" s="1189" t="n">
        <f aca="false">VLOOKUP($A164,Curves_Table,Escalation!$P$291)</f>
        <v>1.51901070889322</v>
      </c>
      <c r="L164" s="1190" t="n">
        <f aca="false">J164*K164</f>
        <v>1588.10327737261</v>
      </c>
      <c r="M164" s="1191" t="str">
        <f aca="false">IF(MONTH($A164)=12,SUM(L153:L164)," ")</f>
        <v> </v>
      </c>
    </row>
    <row r="165" customFormat="false" ht="12.75" hidden="false" customHeight="false" outlineLevel="0" collapsed="false">
      <c r="A165" s="1182" t="n">
        <f aca="false">EDATE(A164,1)</f>
        <v>41609</v>
      </c>
      <c r="C165" s="1183" t="n">
        <f aca="false">A166-A165</f>
        <v>31</v>
      </c>
      <c r="D165" s="1184" t="n">
        <f aca="false">IF($A165&gt;Endyr,0,IF($A165&lt;Assm!$F$32,G165,Capacity*C165))</f>
        <v>3192690</v>
      </c>
      <c r="E165" s="1185" t="n">
        <f aca="false">IF($A165&gt;Endyr,0,Tariff_Cap)</f>
        <v>0.3351</v>
      </c>
      <c r="F165" s="1186" t="n">
        <f aca="false">D165*E165/1000</f>
        <v>1069.870419</v>
      </c>
      <c r="G165" s="1187" t="n">
        <f aca="false">[4]MMBTU!R188</f>
        <v>2092866.048</v>
      </c>
      <c r="H165" s="1185" t="n">
        <f aca="false">IF($A165&gt;Endyr,0,Tariff_Var)</f>
        <v>0.005</v>
      </c>
      <c r="I165" s="1186" t="n">
        <f aca="false">G165*H165/1000</f>
        <v>10.46433024</v>
      </c>
      <c r="J165" s="1188" t="n">
        <f aca="false">SUM(F165,I165)</f>
        <v>1080.33474924</v>
      </c>
      <c r="K165" s="1189" t="n">
        <f aca="false">VLOOKUP($A165,Curves_Table,Escalation!$P$291)</f>
        <v>1.51901070889322</v>
      </c>
      <c r="L165" s="1190" t="n">
        <f aca="false">J165*K165</f>
        <v>1641.04005328503</v>
      </c>
      <c r="M165" s="1191" t="n">
        <f aca="false">IF(MONTH($A165)=12,SUM(L154:L165)," ")</f>
        <v>19166.3462288322</v>
      </c>
    </row>
    <row r="166" customFormat="false" ht="12.75" hidden="false" customHeight="false" outlineLevel="0" collapsed="false">
      <c r="A166" s="1182" t="n">
        <f aca="false">EDATE(A165,1)</f>
        <v>41640</v>
      </c>
      <c r="C166" s="1183" t="n">
        <f aca="false">A167-A166</f>
        <v>31</v>
      </c>
      <c r="D166" s="1184" t="n">
        <f aca="false">IF($A166&gt;Endyr,0,IF($A166&lt;Assm!$F$32,G166,Capacity*C166))</f>
        <v>3192690</v>
      </c>
      <c r="E166" s="1185" t="n">
        <f aca="false">IF($A166&gt;Endyr,0,Tariff_Cap)</f>
        <v>0.3351</v>
      </c>
      <c r="F166" s="1186" t="n">
        <f aca="false">D166*E166/1000</f>
        <v>1069.870419</v>
      </c>
      <c r="G166" s="1187" t="n">
        <f aca="false">[4]MMBTU!R189</f>
        <v>2092866.048</v>
      </c>
      <c r="H166" s="1185" t="n">
        <f aca="false">IF($A166&gt;Endyr,0,Tariff_Var)</f>
        <v>0.005</v>
      </c>
      <c r="I166" s="1186" t="n">
        <f aca="false">G166*H166/1000</f>
        <v>10.46433024</v>
      </c>
      <c r="J166" s="1188" t="n">
        <f aca="false">SUM(F166,I166)</f>
        <v>1080.33474924</v>
      </c>
      <c r="K166" s="1189" t="n">
        <f aca="false">VLOOKUP($A166,Curves_Table,Escalation!$P$291)</f>
        <v>1.51901070889322</v>
      </c>
      <c r="L166" s="1190" t="n">
        <f aca="false">J166*K166</f>
        <v>1641.04005328503</v>
      </c>
      <c r="M166" s="1191" t="str">
        <f aca="false">IF(MONTH($A166)=12,SUM(L155:L166)," ")</f>
        <v> </v>
      </c>
    </row>
    <row r="167" customFormat="false" ht="12.75" hidden="false" customHeight="false" outlineLevel="0" collapsed="false">
      <c r="A167" s="1182" t="n">
        <f aca="false">EDATE(A166,1)</f>
        <v>41671</v>
      </c>
      <c r="C167" s="1183" t="n">
        <f aca="false">A168-A167</f>
        <v>28</v>
      </c>
      <c r="D167" s="1184" t="n">
        <f aca="false">IF($A167&gt;Endyr,0,IF($A167&lt;Assm!$F$32,G167,Capacity*C167))</f>
        <v>2883720</v>
      </c>
      <c r="E167" s="1185" t="n">
        <f aca="false">IF($A167&gt;Endyr,0,Tariff_Cap)</f>
        <v>0.3351</v>
      </c>
      <c r="F167" s="1186" t="n">
        <f aca="false">D167*E167/1000</f>
        <v>966.334572</v>
      </c>
      <c r="G167" s="1187" t="n">
        <f aca="false">[4]MMBTU!R190</f>
        <v>1890330.624</v>
      </c>
      <c r="H167" s="1185" t="n">
        <f aca="false">IF($A167&gt;Endyr,0,Tariff_Var)</f>
        <v>0.005</v>
      </c>
      <c r="I167" s="1186" t="n">
        <f aca="false">G167*H167/1000</f>
        <v>9.45165312</v>
      </c>
      <c r="J167" s="1188" t="n">
        <f aca="false">SUM(F167,I167)</f>
        <v>975.78622512</v>
      </c>
      <c r="K167" s="1189" t="n">
        <f aca="false">VLOOKUP($A167,Curves_Table,Escalation!$P$291)</f>
        <v>1.51901070889322</v>
      </c>
      <c r="L167" s="1190" t="n">
        <f aca="false">J167*K167</f>
        <v>1482.22972554777</v>
      </c>
      <c r="M167" s="1191" t="str">
        <f aca="false">IF(MONTH($A167)=12,SUM(L156:L167)," ")</f>
        <v> </v>
      </c>
    </row>
    <row r="168" customFormat="false" ht="12.75" hidden="false" customHeight="false" outlineLevel="0" collapsed="false">
      <c r="A168" s="1182" t="n">
        <f aca="false">EDATE(A167,1)</f>
        <v>41699</v>
      </c>
      <c r="C168" s="1183" t="n">
        <f aca="false">A169-A168</f>
        <v>31</v>
      </c>
      <c r="D168" s="1184" t="n">
        <f aca="false">IF($A168&gt;Endyr,0,IF($A168&lt;Assm!$F$32,G168,Capacity*C168))</f>
        <v>3192690</v>
      </c>
      <c r="E168" s="1185" t="n">
        <f aca="false">IF($A168&gt;Endyr,0,Tariff_Cap)</f>
        <v>0.3351</v>
      </c>
      <c r="F168" s="1186" t="n">
        <f aca="false">D168*E168/1000</f>
        <v>1069.870419</v>
      </c>
      <c r="G168" s="1187" t="n">
        <f aca="false">[4]MMBTU!R191</f>
        <v>2092866.048</v>
      </c>
      <c r="H168" s="1185" t="n">
        <f aca="false">IF($A168&gt;Endyr,0,Tariff_Var)</f>
        <v>0.005</v>
      </c>
      <c r="I168" s="1186" t="n">
        <f aca="false">G168*H168/1000</f>
        <v>10.46433024</v>
      </c>
      <c r="J168" s="1188" t="n">
        <f aca="false">SUM(F168,I168)</f>
        <v>1080.33474924</v>
      </c>
      <c r="K168" s="1189" t="n">
        <f aca="false">VLOOKUP($A168,Curves_Table,Escalation!$P$291)</f>
        <v>1.51901070889322</v>
      </c>
      <c r="L168" s="1190" t="n">
        <f aca="false">J168*K168</f>
        <v>1641.04005328503</v>
      </c>
      <c r="M168" s="1191" t="str">
        <f aca="false">IF(MONTH($A168)=12,SUM(L157:L168)," ")</f>
        <v> </v>
      </c>
    </row>
    <row r="169" customFormat="false" ht="12.75" hidden="false" customHeight="false" outlineLevel="0" collapsed="false">
      <c r="A169" s="1182" t="n">
        <f aca="false">EDATE(A168,1)</f>
        <v>41730</v>
      </c>
      <c r="C169" s="1183" t="n">
        <f aca="false">A170-A169</f>
        <v>30</v>
      </c>
      <c r="D169" s="1184" t="n">
        <f aca="false">IF($A169&gt;Endyr,0,IF($A169&lt;Assm!$F$32,G169,Capacity*C169))</f>
        <v>3089700</v>
      </c>
      <c r="E169" s="1185" t="n">
        <f aca="false">IF($A169&gt;Endyr,0,Tariff_Cap)</f>
        <v>0.3351</v>
      </c>
      <c r="F169" s="1186" t="n">
        <f aca="false">D169*E169/1000</f>
        <v>1035.35847</v>
      </c>
      <c r="G169" s="1187" t="n">
        <f aca="false">[4]MMBTU!R192</f>
        <v>2025354.24</v>
      </c>
      <c r="H169" s="1185" t="n">
        <f aca="false">IF($A169&gt;Endyr,0,Tariff_Var)</f>
        <v>0.005</v>
      </c>
      <c r="I169" s="1186" t="n">
        <f aca="false">G169*H169/1000</f>
        <v>10.1267712</v>
      </c>
      <c r="J169" s="1188" t="n">
        <f aca="false">SUM(F169,I169)</f>
        <v>1045.4852412</v>
      </c>
      <c r="K169" s="1189" t="n">
        <f aca="false">VLOOKUP($A169,Curves_Table,Escalation!$P$291)</f>
        <v>1.51901070889322</v>
      </c>
      <c r="L169" s="1190" t="n">
        <f aca="false">J169*K169</f>
        <v>1588.10327737261</v>
      </c>
      <c r="M169" s="1191" t="str">
        <f aca="false">IF(MONTH($A169)=12,SUM(L158:L169)," ")</f>
        <v> </v>
      </c>
    </row>
    <row r="170" customFormat="false" ht="12.75" hidden="false" customHeight="false" outlineLevel="0" collapsed="false">
      <c r="A170" s="1182" t="n">
        <f aca="false">EDATE(A169,1)</f>
        <v>41760</v>
      </c>
      <c r="C170" s="1183" t="n">
        <f aca="false">A171-A170</f>
        <v>31</v>
      </c>
      <c r="D170" s="1184" t="n">
        <f aca="false">IF($A170&gt;Endyr,0,IF($A170&lt;Assm!$F$32,G170,Capacity*C170))</f>
        <v>3192690</v>
      </c>
      <c r="E170" s="1185" t="n">
        <f aca="false">IF($A170&gt;Endyr,0,Tariff_Cap)</f>
        <v>0.3351</v>
      </c>
      <c r="F170" s="1186" t="n">
        <f aca="false">D170*E170/1000</f>
        <v>1069.870419</v>
      </c>
      <c r="G170" s="1187" t="n">
        <f aca="false">[4]MMBTU!R193</f>
        <v>2092866.048</v>
      </c>
      <c r="H170" s="1185" t="n">
        <f aca="false">IF($A170&gt;Endyr,0,Tariff_Var)</f>
        <v>0.005</v>
      </c>
      <c r="I170" s="1186" t="n">
        <f aca="false">G170*H170/1000</f>
        <v>10.46433024</v>
      </c>
      <c r="J170" s="1188" t="n">
        <f aca="false">SUM(F170,I170)</f>
        <v>1080.33474924</v>
      </c>
      <c r="K170" s="1189" t="n">
        <f aca="false">VLOOKUP($A170,Curves_Table,Escalation!$P$291)</f>
        <v>1.55739783154092</v>
      </c>
      <c r="L170" s="1190" t="n">
        <f aca="false">J170*K170</f>
        <v>1682.51099580468</v>
      </c>
      <c r="M170" s="1191" t="str">
        <f aca="false">IF(MONTH($A170)=12,SUM(L159:L170)," ")</f>
        <v> </v>
      </c>
    </row>
    <row r="171" customFormat="false" ht="12.75" hidden="false" customHeight="false" outlineLevel="0" collapsed="false">
      <c r="A171" s="1182" t="n">
        <f aca="false">EDATE(A170,1)</f>
        <v>41791</v>
      </c>
      <c r="C171" s="1183" t="n">
        <f aca="false">A172-A171</f>
        <v>30</v>
      </c>
      <c r="D171" s="1184" t="n">
        <f aca="false">IF($A171&gt;Endyr,0,IF($A171&lt;Assm!$F$32,G171,Capacity*C171))</f>
        <v>3089700</v>
      </c>
      <c r="E171" s="1185" t="n">
        <f aca="false">IF($A171&gt;Endyr,0,Tariff_Cap)</f>
        <v>0.3351</v>
      </c>
      <c r="F171" s="1186" t="n">
        <f aca="false">D171*E171/1000</f>
        <v>1035.35847</v>
      </c>
      <c r="G171" s="1187" t="n">
        <f aca="false">[4]MMBTU!R194</f>
        <v>2025354.24</v>
      </c>
      <c r="H171" s="1185" t="n">
        <f aca="false">IF($A171&gt;Endyr,0,Tariff_Var)</f>
        <v>0.005</v>
      </c>
      <c r="I171" s="1186" t="n">
        <f aca="false">G171*H171/1000</f>
        <v>10.1267712</v>
      </c>
      <c r="J171" s="1188" t="n">
        <f aca="false">SUM(F171,I171)</f>
        <v>1045.4852412</v>
      </c>
      <c r="K171" s="1189" t="n">
        <f aca="false">VLOOKUP($A171,Curves_Table,Escalation!$P$291)</f>
        <v>1.55739783154092</v>
      </c>
      <c r="L171" s="1190" t="n">
        <f aca="false">J171*K171</f>
        <v>1628.23644755291</v>
      </c>
      <c r="M171" s="1191" t="str">
        <f aca="false">IF(MONTH($A171)=12,SUM(L160:L171)," ")</f>
        <v> </v>
      </c>
    </row>
    <row r="172" customFormat="false" ht="12.75" hidden="false" customHeight="false" outlineLevel="0" collapsed="false">
      <c r="A172" s="1182" t="n">
        <f aca="false">EDATE(A171,1)</f>
        <v>41821</v>
      </c>
      <c r="C172" s="1183" t="n">
        <f aca="false">A173-A172</f>
        <v>31</v>
      </c>
      <c r="D172" s="1184" t="n">
        <f aca="false">IF($A172&gt;Endyr,0,IF($A172&lt;Assm!$F$32,G172,Capacity*C172))</f>
        <v>3192690</v>
      </c>
      <c r="E172" s="1185" t="n">
        <f aca="false">IF($A172&gt;Endyr,0,Tariff_Cap)</f>
        <v>0.3351</v>
      </c>
      <c r="F172" s="1186" t="n">
        <f aca="false">D172*E172/1000</f>
        <v>1069.870419</v>
      </c>
      <c r="G172" s="1187" t="n">
        <f aca="false">[4]MMBTU!R195</f>
        <v>2092866.048</v>
      </c>
      <c r="H172" s="1185" t="n">
        <f aca="false">IF($A172&gt;Endyr,0,Tariff_Var)</f>
        <v>0.005</v>
      </c>
      <c r="I172" s="1186" t="n">
        <f aca="false">G172*H172/1000</f>
        <v>10.46433024</v>
      </c>
      <c r="J172" s="1188" t="n">
        <f aca="false">SUM(F172,I172)</f>
        <v>1080.33474924</v>
      </c>
      <c r="K172" s="1189" t="n">
        <f aca="false">VLOOKUP($A172,Curves_Table,Escalation!$P$291)</f>
        <v>1.55739783154092</v>
      </c>
      <c r="L172" s="1190" t="n">
        <f aca="false">J172*K172</f>
        <v>1682.51099580468</v>
      </c>
      <c r="M172" s="1191" t="str">
        <f aca="false">IF(MONTH($A172)=12,SUM(L161:L172)," ")</f>
        <v> </v>
      </c>
    </row>
    <row r="173" customFormat="false" ht="12.75" hidden="false" customHeight="false" outlineLevel="0" collapsed="false">
      <c r="A173" s="1182" t="n">
        <f aca="false">EDATE(A172,1)</f>
        <v>41852</v>
      </c>
      <c r="C173" s="1183" t="n">
        <f aca="false">A174-A173</f>
        <v>31</v>
      </c>
      <c r="D173" s="1184" t="n">
        <f aca="false">IF($A173&gt;Endyr,0,IF($A173&lt;Assm!$F$32,G173,Capacity*C173))</f>
        <v>3192690</v>
      </c>
      <c r="E173" s="1185" t="n">
        <f aca="false">IF($A173&gt;Endyr,0,Tariff_Cap)</f>
        <v>0.3351</v>
      </c>
      <c r="F173" s="1186" t="n">
        <f aca="false">D173*E173/1000</f>
        <v>1069.870419</v>
      </c>
      <c r="G173" s="1187" t="n">
        <f aca="false">[4]MMBTU!R196</f>
        <v>2092866.048</v>
      </c>
      <c r="H173" s="1185" t="n">
        <f aca="false">IF($A173&gt;Endyr,0,Tariff_Var)</f>
        <v>0.005</v>
      </c>
      <c r="I173" s="1186" t="n">
        <f aca="false">G173*H173/1000</f>
        <v>10.46433024</v>
      </c>
      <c r="J173" s="1188" t="n">
        <f aca="false">SUM(F173,I173)</f>
        <v>1080.33474924</v>
      </c>
      <c r="K173" s="1189" t="n">
        <f aca="false">VLOOKUP($A173,Curves_Table,Escalation!$P$291)</f>
        <v>1.55739783154092</v>
      </c>
      <c r="L173" s="1190" t="n">
        <f aca="false">J173*K173</f>
        <v>1682.51099580468</v>
      </c>
      <c r="M173" s="1191" t="str">
        <f aca="false">IF(MONTH($A173)=12,SUM(L162:L173)," ")</f>
        <v> </v>
      </c>
    </row>
    <row r="174" customFormat="false" ht="12.75" hidden="false" customHeight="false" outlineLevel="0" collapsed="false">
      <c r="A174" s="1182" t="n">
        <f aca="false">EDATE(A173,1)</f>
        <v>41883</v>
      </c>
      <c r="C174" s="1183" t="n">
        <f aca="false">A175-A174</f>
        <v>30</v>
      </c>
      <c r="D174" s="1184" t="n">
        <f aca="false">IF($A174&gt;Endyr,0,IF($A174&lt;Assm!$F$32,G174,Capacity*C174))</f>
        <v>3089700</v>
      </c>
      <c r="E174" s="1185" t="n">
        <f aca="false">IF($A174&gt;Endyr,0,Tariff_Cap)</f>
        <v>0.3351</v>
      </c>
      <c r="F174" s="1186" t="n">
        <f aca="false">D174*E174/1000</f>
        <v>1035.35847</v>
      </c>
      <c r="G174" s="1187" t="n">
        <f aca="false">[4]MMBTU!R197</f>
        <v>2025354.24</v>
      </c>
      <c r="H174" s="1185" t="n">
        <f aca="false">IF($A174&gt;Endyr,0,Tariff_Var)</f>
        <v>0.005</v>
      </c>
      <c r="I174" s="1186" t="n">
        <f aca="false">G174*H174/1000</f>
        <v>10.1267712</v>
      </c>
      <c r="J174" s="1188" t="n">
        <f aca="false">SUM(F174,I174)</f>
        <v>1045.4852412</v>
      </c>
      <c r="K174" s="1189" t="n">
        <f aca="false">VLOOKUP($A174,Curves_Table,Escalation!$P$291)</f>
        <v>1.55739783154092</v>
      </c>
      <c r="L174" s="1190" t="n">
        <f aca="false">J174*K174</f>
        <v>1628.23644755291</v>
      </c>
      <c r="M174" s="1191" t="str">
        <f aca="false">IF(MONTH($A174)=12,SUM(L163:L174)," ")</f>
        <v> </v>
      </c>
    </row>
    <row r="175" customFormat="false" ht="12.75" hidden="false" customHeight="false" outlineLevel="0" collapsed="false">
      <c r="A175" s="1182" t="n">
        <f aca="false">EDATE(A174,1)</f>
        <v>41913</v>
      </c>
      <c r="C175" s="1183" t="n">
        <f aca="false">A176-A175</f>
        <v>31</v>
      </c>
      <c r="D175" s="1184" t="n">
        <f aca="false">IF($A175&gt;Endyr,0,IF($A175&lt;Assm!$F$32,G175,Capacity*C175))</f>
        <v>3192690</v>
      </c>
      <c r="E175" s="1185" t="n">
        <f aca="false">IF($A175&gt;Endyr,0,Tariff_Cap)</f>
        <v>0.3351</v>
      </c>
      <c r="F175" s="1186" t="n">
        <f aca="false">D175*E175/1000</f>
        <v>1069.870419</v>
      </c>
      <c r="G175" s="1187" t="n">
        <f aca="false">[4]MMBTU!R198</f>
        <v>2092866.048</v>
      </c>
      <c r="H175" s="1185" t="n">
        <f aca="false">IF($A175&gt;Endyr,0,Tariff_Var)</f>
        <v>0.005</v>
      </c>
      <c r="I175" s="1186" t="n">
        <f aca="false">G175*H175/1000</f>
        <v>10.46433024</v>
      </c>
      <c r="J175" s="1188" t="n">
        <f aca="false">SUM(F175,I175)</f>
        <v>1080.33474924</v>
      </c>
      <c r="K175" s="1189" t="n">
        <f aca="false">VLOOKUP($A175,Curves_Table,Escalation!$P$291)</f>
        <v>1.55739783154092</v>
      </c>
      <c r="L175" s="1190" t="n">
        <f aca="false">J175*K175</f>
        <v>1682.51099580468</v>
      </c>
      <c r="M175" s="1191" t="str">
        <f aca="false">IF(MONTH($A175)=12,SUM(L164:L175)," ")</f>
        <v> </v>
      </c>
    </row>
    <row r="176" customFormat="false" ht="12.75" hidden="false" customHeight="false" outlineLevel="0" collapsed="false">
      <c r="A176" s="1182" t="n">
        <f aca="false">EDATE(A175,1)</f>
        <v>41944</v>
      </c>
      <c r="C176" s="1183" t="n">
        <f aca="false">A177-A176</f>
        <v>30</v>
      </c>
      <c r="D176" s="1184" t="n">
        <f aca="false">IF($A176&gt;Endyr,0,IF($A176&lt;Assm!$F$32,G176,Capacity*C176))</f>
        <v>3089700</v>
      </c>
      <c r="E176" s="1185" t="n">
        <f aca="false">IF($A176&gt;Endyr,0,Tariff_Cap)</f>
        <v>0.3351</v>
      </c>
      <c r="F176" s="1186" t="n">
        <f aca="false">D176*E176/1000</f>
        <v>1035.35847</v>
      </c>
      <c r="G176" s="1187" t="n">
        <f aca="false">[4]MMBTU!R199</f>
        <v>2025354.24</v>
      </c>
      <c r="H176" s="1185" t="n">
        <f aca="false">IF($A176&gt;Endyr,0,Tariff_Var)</f>
        <v>0.005</v>
      </c>
      <c r="I176" s="1186" t="n">
        <f aca="false">G176*H176/1000</f>
        <v>10.1267712</v>
      </c>
      <c r="J176" s="1188" t="n">
        <f aca="false">SUM(F176,I176)</f>
        <v>1045.4852412</v>
      </c>
      <c r="K176" s="1189" t="n">
        <f aca="false">VLOOKUP($A176,Curves_Table,Escalation!$P$291)</f>
        <v>1.55739783154092</v>
      </c>
      <c r="L176" s="1190" t="n">
        <f aca="false">J176*K176</f>
        <v>1628.23644755291</v>
      </c>
      <c r="M176" s="1191" t="str">
        <f aca="false">IF(MONTH($A176)=12,SUM(L165:L176)," ")</f>
        <v> </v>
      </c>
    </row>
    <row r="177" customFormat="false" ht="12.75" hidden="false" customHeight="false" outlineLevel="0" collapsed="false">
      <c r="A177" s="1182" t="n">
        <f aca="false">EDATE(A176,1)</f>
        <v>41974</v>
      </c>
      <c r="C177" s="1183" t="n">
        <f aca="false">A178-A177</f>
        <v>31</v>
      </c>
      <c r="D177" s="1184" t="n">
        <f aca="false">IF($A177&gt;Endyr,0,IF($A177&lt;Assm!$F$32,G177,Capacity*C177))</f>
        <v>3192690</v>
      </c>
      <c r="E177" s="1185" t="n">
        <f aca="false">IF($A177&gt;Endyr,0,Tariff_Cap)</f>
        <v>0.3351</v>
      </c>
      <c r="F177" s="1186" t="n">
        <f aca="false">D177*E177/1000</f>
        <v>1069.870419</v>
      </c>
      <c r="G177" s="1187" t="n">
        <f aca="false">[4]MMBTU!R200</f>
        <v>2092866.048</v>
      </c>
      <c r="H177" s="1185" t="n">
        <f aca="false">IF($A177&gt;Endyr,0,Tariff_Var)</f>
        <v>0.005</v>
      </c>
      <c r="I177" s="1186" t="n">
        <f aca="false">G177*H177/1000</f>
        <v>10.46433024</v>
      </c>
      <c r="J177" s="1188" t="n">
        <f aca="false">SUM(F177,I177)</f>
        <v>1080.33474924</v>
      </c>
      <c r="K177" s="1189" t="n">
        <f aca="false">VLOOKUP($A177,Curves_Table,Escalation!$P$291)</f>
        <v>1.55739783154092</v>
      </c>
      <c r="L177" s="1190" t="n">
        <f aca="false">J177*K177</f>
        <v>1682.51099580468</v>
      </c>
      <c r="M177" s="1191" t="n">
        <f aca="false">IF(MONTH($A177)=12,SUM(L166:L177)," ")</f>
        <v>19649.6774311726</v>
      </c>
    </row>
    <row r="178" customFormat="false" ht="12.75" hidden="false" customHeight="false" outlineLevel="0" collapsed="false">
      <c r="A178" s="1182" t="n">
        <f aca="false">EDATE(A177,1)</f>
        <v>42005</v>
      </c>
      <c r="C178" s="1183" t="n">
        <f aca="false">A179-A178</f>
        <v>31</v>
      </c>
      <c r="D178" s="1184" t="n">
        <f aca="false">IF($A178&gt;Endyr,0,IF($A178&lt;Assm!$F$32,G178,Capacity*C178))</f>
        <v>3192690</v>
      </c>
      <c r="E178" s="1185" t="n">
        <f aca="false">IF($A178&gt;Endyr,0,Tariff_Cap)</f>
        <v>0.3351</v>
      </c>
      <c r="F178" s="1186" t="n">
        <f aca="false">D178*E178/1000</f>
        <v>1069.870419</v>
      </c>
      <c r="G178" s="1187" t="n">
        <f aca="false">[4]MMBTU!R201</f>
        <v>2092866.048</v>
      </c>
      <c r="H178" s="1185" t="n">
        <f aca="false">IF($A178&gt;Endyr,0,Tariff_Var)</f>
        <v>0.005</v>
      </c>
      <c r="I178" s="1186" t="n">
        <f aca="false">G178*H178/1000</f>
        <v>10.46433024</v>
      </c>
      <c r="J178" s="1188" t="n">
        <f aca="false">SUM(F178,I178)</f>
        <v>1080.33474924</v>
      </c>
      <c r="K178" s="1189" t="n">
        <f aca="false">VLOOKUP($A178,Curves_Table,Escalation!$P$291)</f>
        <v>1.55739783154092</v>
      </c>
      <c r="L178" s="1190" t="n">
        <f aca="false">J178*K178</f>
        <v>1682.51099580468</v>
      </c>
      <c r="M178" s="1191" t="str">
        <f aca="false">IF(MONTH($A178)=12,SUM(L167:L178)," ")</f>
        <v> </v>
      </c>
    </row>
    <row r="179" customFormat="false" ht="12.75" hidden="false" customHeight="false" outlineLevel="0" collapsed="false">
      <c r="A179" s="1182" t="n">
        <f aca="false">EDATE(A178,1)</f>
        <v>42036</v>
      </c>
      <c r="C179" s="1183" t="n">
        <f aca="false">A180-A179</f>
        <v>28</v>
      </c>
      <c r="D179" s="1184" t="n">
        <f aca="false">IF($A179&gt;Endyr,0,IF($A179&lt;Assm!$F$32,G179,Capacity*C179))</f>
        <v>2883720</v>
      </c>
      <c r="E179" s="1185" t="n">
        <f aca="false">IF($A179&gt;Endyr,0,Tariff_Cap)</f>
        <v>0.3351</v>
      </c>
      <c r="F179" s="1186" t="n">
        <f aca="false">D179*E179/1000</f>
        <v>966.334572</v>
      </c>
      <c r="G179" s="1187" t="n">
        <f aca="false">[4]MMBTU!R202</f>
        <v>1890330.624</v>
      </c>
      <c r="H179" s="1185" t="n">
        <f aca="false">IF($A179&gt;Endyr,0,Tariff_Var)</f>
        <v>0.005</v>
      </c>
      <c r="I179" s="1186" t="n">
        <f aca="false">G179*H179/1000</f>
        <v>9.45165312</v>
      </c>
      <c r="J179" s="1188" t="n">
        <f aca="false">SUM(F179,I179)</f>
        <v>975.78622512</v>
      </c>
      <c r="K179" s="1189" t="n">
        <f aca="false">VLOOKUP($A179,Curves_Table,Escalation!$P$291)</f>
        <v>1.55739783154092</v>
      </c>
      <c r="L179" s="1190" t="n">
        <f aca="false">J179*K179</f>
        <v>1519.68735104939</v>
      </c>
      <c r="M179" s="1191" t="str">
        <f aca="false">IF(MONTH($A179)=12,SUM(L168:L179)," ")</f>
        <v> </v>
      </c>
    </row>
    <row r="180" customFormat="false" ht="12.75" hidden="false" customHeight="false" outlineLevel="0" collapsed="false">
      <c r="A180" s="1182" t="n">
        <f aca="false">EDATE(A179,1)</f>
        <v>42064</v>
      </c>
      <c r="C180" s="1183" t="n">
        <f aca="false">A181-A180</f>
        <v>31</v>
      </c>
      <c r="D180" s="1184" t="n">
        <f aca="false">IF($A180&gt;Endyr,0,IF($A180&lt;Assm!$F$32,G180,Capacity*C180))</f>
        <v>3192690</v>
      </c>
      <c r="E180" s="1185" t="n">
        <f aca="false">IF($A180&gt;Endyr,0,Tariff_Cap)</f>
        <v>0.3351</v>
      </c>
      <c r="F180" s="1186" t="n">
        <f aca="false">D180*E180/1000</f>
        <v>1069.870419</v>
      </c>
      <c r="G180" s="1187" t="n">
        <f aca="false">[4]MMBTU!R203</f>
        <v>2092866.048</v>
      </c>
      <c r="H180" s="1185" t="n">
        <f aca="false">IF($A180&gt;Endyr,0,Tariff_Var)</f>
        <v>0.005</v>
      </c>
      <c r="I180" s="1186" t="n">
        <f aca="false">G180*H180/1000</f>
        <v>10.46433024</v>
      </c>
      <c r="J180" s="1188" t="n">
        <f aca="false">SUM(F180,I180)</f>
        <v>1080.33474924</v>
      </c>
      <c r="K180" s="1189" t="n">
        <f aca="false">VLOOKUP($A180,Curves_Table,Escalation!$P$291)</f>
        <v>1.55739783154092</v>
      </c>
      <c r="L180" s="1190" t="n">
        <f aca="false">J180*K180</f>
        <v>1682.51099580468</v>
      </c>
      <c r="M180" s="1191" t="str">
        <f aca="false">IF(MONTH($A180)=12,SUM(L169:L180)," ")</f>
        <v> </v>
      </c>
    </row>
    <row r="181" customFormat="false" ht="12.75" hidden="false" customHeight="false" outlineLevel="0" collapsed="false">
      <c r="A181" s="1182" t="n">
        <f aca="false">EDATE(A180,1)</f>
        <v>42095</v>
      </c>
      <c r="C181" s="1183" t="n">
        <f aca="false">A182-A181</f>
        <v>30</v>
      </c>
      <c r="D181" s="1184" t="n">
        <f aca="false">IF($A181&gt;Endyr,0,IF($A181&lt;Assm!$F$32,G181,Capacity*C181))</f>
        <v>3089700</v>
      </c>
      <c r="E181" s="1185" t="n">
        <f aca="false">IF($A181&gt;Endyr,0,Tariff_Cap)</f>
        <v>0.3351</v>
      </c>
      <c r="F181" s="1186" t="n">
        <f aca="false">D181*E181/1000</f>
        <v>1035.35847</v>
      </c>
      <c r="G181" s="1187" t="n">
        <f aca="false">[4]MMBTU!R204</f>
        <v>2025354.24</v>
      </c>
      <c r="H181" s="1185" t="n">
        <f aca="false">IF($A181&gt;Endyr,0,Tariff_Var)</f>
        <v>0.005</v>
      </c>
      <c r="I181" s="1186" t="n">
        <f aca="false">G181*H181/1000</f>
        <v>10.1267712</v>
      </c>
      <c r="J181" s="1188" t="n">
        <f aca="false">SUM(F181,I181)</f>
        <v>1045.4852412</v>
      </c>
      <c r="K181" s="1189" t="n">
        <f aca="false">VLOOKUP($A181,Curves_Table,Escalation!$P$291)</f>
        <v>1.55739783154092</v>
      </c>
      <c r="L181" s="1190" t="n">
        <f aca="false">J181*K181</f>
        <v>1628.23644755291</v>
      </c>
      <c r="M181" s="1191" t="str">
        <f aca="false">IF(MONTH($A181)=12,SUM(L170:L181)," ")</f>
        <v> </v>
      </c>
    </row>
    <row r="182" customFormat="false" ht="12.75" hidden="false" customHeight="false" outlineLevel="0" collapsed="false">
      <c r="A182" s="1182" t="n">
        <f aca="false">EDATE(A181,1)</f>
        <v>42125</v>
      </c>
      <c r="C182" s="1183" t="n">
        <f aca="false">A183-A182</f>
        <v>31</v>
      </c>
      <c r="D182" s="1184" t="n">
        <f aca="false">IF($A182&gt;Endyr,0,IF($A182&lt;Assm!$F$32,G182,Capacity*C182))</f>
        <v>3192690</v>
      </c>
      <c r="E182" s="1185" t="n">
        <f aca="false">IF($A182&gt;Endyr,0,Tariff_Cap)</f>
        <v>0.3351</v>
      </c>
      <c r="F182" s="1186" t="n">
        <f aca="false">D182*E182/1000</f>
        <v>1069.870419</v>
      </c>
      <c r="G182" s="1187" t="n">
        <f aca="false">[4]MMBTU!R205</f>
        <v>2092866.048</v>
      </c>
      <c r="H182" s="1185" t="n">
        <f aca="false">IF($A182&gt;Endyr,0,Tariff_Var)</f>
        <v>0.005</v>
      </c>
      <c r="I182" s="1186" t="n">
        <f aca="false">G182*H182/1000</f>
        <v>10.46433024</v>
      </c>
      <c r="J182" s="1188" t="n">
        <f aca="false">SUM(F182,I182)</f>
        <v>1080.33474924</v>
      </c>
      <c r="K182" s="1189" t="n">
        <f aca="false">VLOOKUP($A182,Curves_Table,Escalation!$P$291)</f>
        <v>1.59733039824151</v>
      </c>
      <c r="L182" s="1190" t="n">
        <f aca="false">J182*K182</f>
        <v>1725.65153523767</v>
      </c>
      <c r="M182" s="1191" t="str">
        <f aca="false">IF(MONTH($A182)=12,SUM(L171:L182)," ")</f>
        <v> </v>
      </c>
    </row>
    <row r="183" customFormat="false" ht="12.75" hidden="false" customHeight="false" outlineLevel="0" collapsed="false">
      <c r="A183" s="1182" t="n">
        <f aca="false">EDATE(A182,1)</f>
        <v>42156</v>
      </c>
      <c r="C183" s="1183" t="n">
        <f aca="false">A184-A183</f>
        <v>30</v>
      </c>
      <c r="D183" s="1184" t="n">
        <f aca="false">IF($A183&gt;Endyr,0,IF($A183&lt;Assm!$F$32,G183,Capacity*C183))</f>
        <v>3089700</v>
      </c>
      <c r="E183" s="1185" t="n">
        <f aca="false">IF($A183&gt;Endyr,0,Tariff_Cap)</f>
        <v>0.3351</v>
      </c>
      <c r="F183" s="1186" t="n">
        <f aca="false">D183*E183/1000</f>
        <v>1035.35847</v>
      </c>
      <c r="G183" s="1187" t="n">
        <f aca="false">[4]MMBTU!R206</f>
        <v>2025354.24</v>
      </c>
      <c r="H183" s="1185" t="n">
        <f aca="false">IF($A183&gt;Endyr,0,Tariff_Var)</f>
        <v>0.005</v>
      </c>
      <c r="I183" s="1186" t="n">
        <f aca="false">G183*H183/1000</f>
        <v>10.1267712</v>
      </c>
      <c r="J183" s="1188" t="n">
        <f aca="false">SUM(F183,I183)</f>
        <v>1045.4852412</v>
      </c>
      <c r="K183" s="1189" t="n">
        <f aca="false">VLOOKUP($A183,Curves_Table,Escalation!$P$291)</f>
        <v>1.59733039824151</v>
      </c>
      <c r="L183" s="1190" t="n">
        <f aca="false">J183*K183</f>
        <v>1669.98535668161</v>
      </c>
      <c r="M183" s="1191" t="str">
        <f aca="false">IF(MONTH($A183)=12,SUM(L172:L183)," ")</f>
        <v> </v>
      </c>
    </row>
    <row r="184" customFormat="false" ht="12.75" hidden="false" customHeight="false" outlineLevel="0" collapsed="false">
      <c r="A184" s="1182" t="n">
        <f aca="false">EDATE(A183,1)</f>
        <v>42186</v>
      </c>
      <c r="C184" s="1183" t="n">
        <f aca="false">A185-A184</f>
        <v>31</v>
      </c>
      <c r="D184" s="1184" t="n">
        <f aca="false">IF($A184&gt;Endyr,0,IF($A184&lt;Assm!$F$32,G184,Capacity*C184))</f>
        <v>3192690</v>
      </c>
      <c r="E184" s="1185" t="n">
        <f aca="false">IF($A184&gt;Endyr,0,Tariff_Cap)</f>
        <v>0.3351</v>
      </c>
      <c r="F184" s="1186" t="n">
        <f aca="false">D184*E184/1000</f>
        <v>1069.870419</v>
      </c>
      <c r="G184" s="1187" t="n">
        <f aca="false">[4]MMBTU!R207</f>
        <v>2092866.048</v>
      </c>
      <c r="H184" s="1185" t="n">
        <f aca="false">IF($A184&gt;Endyr,0,Tariff_Var)</f>
        <v>0.005</v>
      </c>
      <c r="I184" s="1186" t="n">
        <f aca="false">G184*H184/1000</f>
        <v>10.46433024</v>
      </c>
      <c r="J184" s="1188" t="n">
        <f aca="false">SUM(F184,I184)</f>
        <v>1080.33474924</v>
      </c>
      <c r="K184" s="1189" t="n">
        <f aca="false">VLOOKUP($A184,Curves_Table,Escalation!$P$291)</f>
        <v>1.59733039824151</v>
      </c>
      <c r="L184" s="1190" t="n">
        <f aca="false">J184*K184</f>
        <v>1725.65153523767</v>
      </c>
      <c r="M184" s="1191" t="str">
        <f aca="false">IF(MONTH($A184)=12,SUM(L173:L184)," ")</f>
        <v> </v>
      </c>
    </row>
    <row r="185" customFormat="false" ht="12.75" hidden="false" customHeight="false" outlineLevel="0" collapsed="false">
      <c r="A185" s="1182" t="n">
        <f aca="false">EDATE(A184,1)</f>
        <v>42217</v>
      </c>
      <c r="C185" s="1183" t="n">
        <f aca="false">A186-A185</f>
        <v>31</v>
      </c>
      <c r="D185" s="1184" t="n">
        <f aca="false">IF($A185&gt;Endyr,0,IF($A185&lt;Assm!$F$32,G185,Capacity*C185))</f>
        <v>3192690</v>
      </c>
      <c r="E185" s="1185" t="n">
        <f aca="false">IF($A185&gt;Endyr,0,Tariff_Cap)</f>
        <v>0.3351</v>
      </c>
      <c r="F185" s="1186" t="n">
        <f aca="false">D185*E185/1000</f>
        <v>1069.870419</v>
      </c>
      <c r="G185" s="1187" t="n">
        <f aca="false">[4]MMBTU!R208</f>
        <v>2092866.048</v>
      </c>
      <c r="H185" s="1185" t="n">
        <f aca="false">IF($A185&gt;Endyr,0,Tariff_Var)</f>
        <v>0.005</v>
      </c>
      <c r="I185" s="1186" t="n">
        <f aca="false">G185*H185/1000</f>
        <v>10.46433024</v>
      </c>
      <c r="J185" s="1188" t="n">
        <f aca="false">SUM(F185,I185)</f>
        <v>1080.33474924</v>
      </c>
      <c r="K185" s="1189" t="n">
        <f aca="false">VLOOKUP($A185,Curves_Table,Escalation!$P$291)</f>
        <v>1.59733039824151</v>
      </c>
      <c r="L185" s="1190" t="n">
        <f aca="false">J185*K185</f>
        <v>1725.65153523767</v>
      </c>
      <c r="M185" s="1191" t="str">
        <f aca="false">IF(MONTH($A185)=12,SUM(L174:L185)," ")</f>
        <v> </v>
      </c>
    </row>
    <row r="186" customFormat="false" ht="12.75" hidden="false" customHeight="false" outlineLevel="0" collapsed="false">
      <c r="A186" s="1182" t="n">
        <f aca="false">EDATE(A185,1)</f>
        <v>42248</v>
      </c>
      <c r="C186" s="1183" t="n">
        <f aca="false">A187-A186</f>
        <v>30</v>
      </c>
      <c r="D186" s="1184" t="n">
        <f aca="false">IF($A186&gt;Endyr,0,IF($A186&lt;Assm!$F$32,G186,Capacity*C186))</f>
        <v>3089700</v>
      </c>
      <c r="E186" s="1185" t="n">
        <f aca="false">IF($A186&gt;Endyr,0,Tariff_Cap)</f>
        <v>0.3351</v>
      </c>
      <c r="F186" s="1186" t="n">
        <f aca="false">D186*E186/1000</f>
        <v>1035.35847</v>
      </c>
      <c r="G186" s="1187" t="n">
        <f aca="false">[4]MMBTU!R209</f>
        <v>2025354.24</v>
      </c>
      <c r="H186" s="1185" t="n">
        <f aca="false">IF($A186&gt;Endyr,0,Tariff_Var)</f>
        <v>0.005</v>
      </c>
      <c r="I186" s="1186" t="n">
        <f aca="false">G186*H186/1000</f>
        <v>10.1267712</v>
      </c>
      <c r="J186" s="1188" t="n">
        <f aca="false">SUM(F186,I186)</f>
        <v>1045.4852412</v>
      </c>
      <c r="K186" s="1189" t="n">
        <f aca="false">VLOOKUP($A186,Curves_Table,Escalation!$P$291)</f>
        <v>1.59733039824151</v>
      </c>
      <c r="L186" s="1190" t="n">
        <f aca="false">J186*K186</f>
        <v>1669.98535668161</v>
      </c>
      <c r="M186" s="1191" t="str">
        <f aca="false">IF(MONTH($A186)=12,SUM(L175:L186)," ")</f>
        <v> </v>
      </c>
    </row>
    <row r="187" customFormat="false" ht="12.75" hidden="false" customHeight="false" outlineLevel="0" collapsed="false">
      <c r="A187" s="1182" t="n">
        <f aca="false">EDATE(A186,1)</f>
        <v>42278</v>
      </c>
      <c r="C187" s="1183" t="n">
        <f aca="false">A188-A187</f>
        <v>31</v>
      </c>
      <c r="D187" s="1184" t="n">
        <f aca="false">IF($A187&gt;Endyr,0,IF($A187&lt;Assm!$F$32,G187,Capacity*C187))</f>
        <v>3192690</v>
      </c>
      <c r="E187" s="1185" t="n">
        <f aca="false">IF($A187&gt;Endyr,0,Tariff_Cap)</f>
        <v>0.3351</v>
      </c>
      <c r="F187" s="1186" t="n">
        <f aca="false">D187*E187/1000</f>
        <v>1069.870419</v>
      </c>
      <c r="G187" s="1187" t="n">
        <f aca="false">[4]MMBTU!R210</f>
        <v>2092866.048</v>
      </c>
      <c r="H187" s="1185" t="n">
        <f aca="false">IF($A187&gt;Endyr,0,Tariff_Var)</f>
        <v>0.005</v>
      </c>
      <c r="I187" s="1186" t="n">
        <f aca="false">G187*H187/1000</f>
        <v>10.46433024</v>
      </c>
      <c r="J187" s="1188" t="n">
        <f aca="false">SUM(F187,I187)</f>
        <v>1080.33474924</v>
      </c>
      <c r="K187" s="1189" t="n">
        <f aca="false">VLOOKUP($A187,Curves_Table,Escalation!$P$291)</f>
        <v>1.59733039824151</v>
      </c>
      <c r="L187" s="1190" t="n">
        <f aca="false">J187*K187</f>
        <v>1725.65153523767</v>
      </c>
      <c r="M187" s="1191" t="str">
        <f aca="false">IF(MONTH($A187)=12,SUM(L176:L187)," ")</f>
        <v> </v>
      </c>
    </row>
    <row r="188" customFormat="false" ht="12.75" hidden="false" customHeight="false" outlineLevel="0" collapsed="false">
      <c r="A188" s="1182" t="n">
        <f aca="false">EDATE(A187,1)</f>
        <v>42309</v>
      </c>
      <c r="C188" s="1183" t="n">
        <f aca="false">A189-A188</f>
        <v>30</v>
      </c>
      <c r="D188" s="1184" t="n">
        <f aca="false">IF($A188&gt;Endyr,0,IF($A188&lt;Assm!$F$32,G188,Capacity*C188))</f>
        <v>3089700</v>
      </c>
      <c r="E188" s="1185" t="n">
        <f aca="false">IF($A188&gt;Endyr,0,Tariff_Cap)</f>
        <v>0.3351</v>
      </c>
      <c r="F188" s="1186" t="n">
        <f aca="false">D188*E188/1000</f>
        <v>1035.35847</v>
      </c>
      <c r="G188" s="1187" t="n">
        <f aca="false">[4]MMBTU!R211</f>
        <v>2025354.24</v>
      </c>
      <c r="H188" s="1185" t="n">
        <f aca="false">IF($A188&gt;Endyr,0,Tariff_Var)</f>
        <v>0.005</v>
      </c>
      <c r="I188" s="1186" t="n">
        <f aca="false">G188*H188/1000</f>
        <v>10.1267712</v>
      </c>
      <c r="J188" s="1188" t="n">
        <f aca="false">SUM(F188,I188)</f>
        <v>1045.4852412</v>
      </c>
      <c r="K188" s="1189" t="n">
        <f aca="false">VLOOKUP($A188,Curves_Table,Escalation!$P$291)</f>
        <v>1.59733039824151</v>
      </c>
      <c r="L188" s="1190" t="n">
        <f aca="false">J188*K188</f>
        <v>1669.98535668161</v>
      </c>
      <c r="M188" s="1191" t="str">
        <f aca="false">IF(MONTH($A188)=12,SUM(L177:L188)," ")</f>
        <v> </v>
      </c>
    </row>
    <row r="189" customFormat="false" ht="12.75" hidden="false" customHeight="false" outlineLevel="0" collapsed="false">
      <c r="A189" s="1182" t="n">
        <f aca="false">EDATE(A188,1)</f>
        <v>42339</v>
      </c>
      <c r="C189" s="1183" t="n">
        <f aca="false">A190-A189</f>
        <v>31</v>
      </c>
      <c r="D189" s="1184" t="n">
        <f aca="false">IF($A189&gt;Endyr,0,IF($A189&lt;Assm!$F$32,G189,Capacity*C189))</f>
        <v>3192690</v>
      </c>
      <c r="E189" s="1185" t="n">
        <f aca="false">IF($A189&gt;Endyr,0,Tariff_Cap)</f>
        <v>0.3351</v>
      </c>
      <c r="F189" s="1186" t="n">
        <f aca="false">D189*E189/1000</f>
        <v>1069.870419</v>
      </c>
      <c r="G189" s="1187" t="n">
        <f aca="false">[4]MMBTU!R212</f>
        <v>2092866.048</v>
      </c>
      <c r="H189" s="1185" t="n">
        <f aca="false">IF($A189&gt;Endyr,0,Tariff_Var)</f>
        <v>0.005</v>
      </c>
      <c r="I189" s="1186" t="n">
        <f aca="false">G189*H189/1000</f>
        <v>10.46433024</v>
      </c>
      <c r="J189" s="1188" t="n">
        <f aca="false">SUM(F189,I189)</f>
        <v>1080.33474924</v>
      </c>
      <c r="K189" s="1189" t="n">
        <f aca="false">VLOOKUP($A189,Curves_Table,Escalation!$P$291)</f>
        <v>1.59733039824151</v>
      </c>
      <c r="L189" s="1190" t="n">
        <f aca="false">J189*K189</f>
        <v>1725.65153523767</v>
      </c>
      <c r="M189" s="1191" t="n">
        <f aca="false">IF(MONTH($A189)=12,SUM(L178:L189)," ")</f>
        <v>20151.1595364448</v>
      </c>
    </row>
    <row r="190" customFormat="false" ht="12.75" hidden="false" customHeight="false" outlineLevel="0" collapsed="false">
      <c r="A190" s="1182" t="n">
        <f aca="false">EDATE(A189,1)</f>
        <v>42370</v>
      </c>
      <c r="C190" s="1183" t="n">
        <f aca="false">A191-A190</f>
        <v>31</v>
      </c>
      <c r="D190" s="1184" t="n">
        <f aca="false">IF($A190&gt;Endyr,0,IF($A190&lt;Assm!$F$32,G190,Capacity*C190))</f>
        <v>3192690</v>
      </c>
      <c r="E190" s="1185" t="n">
        <f aca="false">IF($A190&gt;Endyr,0,Tariff_Cap)</f>
        <v>0.3351</v>
      </c>
      <c r="F190" s="1186" t="n">
        <f aca="false">D190*E190/1000</f>
        <v>1069.870419</v>
      </c>
      <c r="G190" s="1187" t="n">
        <f aca="false">[4]MMBTU!R213</f>
        <v>2092866.048</v>
      </c>
      <c r="H190" s="1185" t="n">
        <f aca="false">IF($A190&gt;Endyr,0,Tariff_Var)</f>
        <v>0.005</v>
      </c>
      <c r="I190" s="1186" t="n">
        <f aca="false">G190*H190/1000</f>
        <v>10.46433024</v>
      </c>
      <c r="J190" s="1188" t="n">
        <f aca="false">SUM(F190,I190)</f>
        <v>1080.33474924</v>
      </c>
      <c r="K190" s="1189" t="n">
        <f aca="false">VLOOKUP($A190,Curves_Table,Escalation!$P$291)</f>
        <v>1.59733039824151</v>
      </c>
      <c r="L190" s="1190" t="n">
        <f aca="false">J190*K190</f>
        <v>1725.65153523767</v>
      </c>
      <c r="M190" s="1191" t="str">
        <f aca="false">IF(MONTH($A190)=12,SUM(L179:L190)," ")</f>
        <v> </v>
      </c>
    </row>
    <row r="191" customFormat="false" ht="12.75" hidden="false" customHeight="false" outlineLevel="0" collapsed="false">
      <c r="A191" s="1182" t="n">
        <f aca="false">EDATE(A190,1)</f>
        <v>42401</v>
      </c>
      <c r="C191" s="1183" t="n">
        <f aca="false">A192-A191</f>
        <v>29</v>
      </c>
      <c r="D191" s="1184" t="n">
        <f aca="false">IF($A191&gt;Endyr,0,IF($A191&lt;Assm!$F$32,G191,Capacity*C191))</f>
        <v>2986710</v>
      </c>
      <c r="E191" s="1185" t="n">
        <f aca="false">IF($A191&gt;Endyr,0,Tariff_Cap)</f>
        <v>0.3351</v>
      </c>
      <c r="F191" s="1186" t="n">
        <f aca="false">D191*E191/1000</f>
        <v>1000.846521</v>
      </c>
      <c r="G191" s="1187" t="n">
        <f aca="false">[4]MMBTU!R214</f>
        <v>1957842.432</v>
      </c>
      <c r="H191" s="1185" t="n">
        <f aca="false">IF($A191&gt;Endyr,0,Tariff_Var)</f>
        <v>0.005</v>
      </c>
      <c r="I191" s="1186" t="n">
        <f aca="false">G191*H191/1000</f>
        <v>9.78921216</v>
      </c>
      <c r="J191" s="1188" t="n">
        <f aca="false">SUM(F191,I191)</f>
        <v>1010.63573316</v>
      </c>
      <c r="K191" s="1189" t="n">
        <f aca="false">VLOOKUP($A191,Curves_Table,Escalation!$P$291)</f>
        <v>1.59733039824151</v>
      </c>
      <c r="L191" s="1190" t="n">
        <f aca="false">J191*K191</f>
        <v>1614.31917812556</v>
      </c>
      <c r="M191" s="1191" t="str">
        <f aca="false">IF(MONTH($A191)=12,SUM(L180:L191)," ")</f>
        <v> </v>
      </c>
    </row>
    <row r="192" customFormat="false" ht="12.75" hidden="false" customHeight="false" outlineLevel="0" collapsed="false">
      <c r="A192" s="1182" t="n">
        <f aca="false">EDATE(A191,1)</f>
        <v>42430</v>
      </c>
      <c r="C192" s="1183" t="n">
        <f aca="false">A193-A192</f>
        <v>31</v>
      </c>
      <c r="D192" s="1184" t="n">
        <f aca="false">IF($A192&gt;Endyr,0,IF($A192&lt;Assm!$F$32,G192,Capacity*C192))</f>
        <v>3192690</v>
      </c>
      <c r="E192" s="1185" t="n">
        <f aca="false">IF($A192&gt;Endyr,0,Tariff_Cap)</f>
        <v>0.3351</v>
      </c>
      <c r="F192" s="1186" t="n">
        <f aca="false">D192*E192/1000</f>
        <v>1069.870419</v>
      </c>
      <c r="G192" s="1187" t="n">
        <f aca="false">[4]MMBTU!R215</f>
        <v>2092866.048</v>
      </c>
      <c r="H192" s="1185" t="n">
        <f aca="false">IF($A192&gt;Endyr,0,Tariff_Var)</f>
        <v>0.005</v>
      </c>
      <c r="I192" s="1186" t="n">
        <f aca="false">G192*H192/1000</f>
        <v>10.46433024</v>
      </c>
      <c r="J192" s="1188" t="n">
        <f aca="false">SUM(F192,I192)</f>
        <v>1080.33474924</v>
      </c>
      <c r="K192" s="1189" t="n">
        <f aca="false">VLOOKUP($A192,Curves_Table,Escalation!$P$291)</f>
        <v>1.59733039824151</v>
      </c>
      <c r="L192" s="1190" t="n">
        <f aca="false">J192*K192</f>
        <v>1725.65153523767</v>
      </c>
      <c r="M192" s="1191" t="str">
        <f aca="false">IF(MONTH($A192)=12,SUM(L181:L192)," ")</f>
        <v> </v>
      </c>
    </row>
    <row r="193" customFormat="false" ht="12.75" hidden="false" customHeight="false" outlineLevel="0" collapsed="false">
      <c r="A193" s="1182" t="n">
        <f aca="false">EDATE(A192,1)</f>
        <v>42461</v>
      </c>
      <c r="C193" s="1183" t="n">
        <f aca="false">A194-A193</f>
        <v>30</v>
      </c>
      <c r="D193" s="1184" t="n">
        <f aca="false">IF($A193&gt;Endyr,0,IF($A193&lt;Assm!$F$32,G193,Capacity*C193))</f>
        <v>3089700</v>
      </c>
      <c r="E193" s="1185" t="n">
        <f aca="false">IF($A193&gt;Endyr,0,Tariff_Cap)</f>
        <v>0.3351</v>
      </c>
      <c r="F193" s="1186" t="n">
        <f aca="false">D193*E193/1000</f>
        <v>1035.35847</v>
      </c>
      <c r="G193" s="1187" t="n">
        <f aca="false">[4]MMBTU!R216</f>
        <v>2025354.24</v>
      </c>
      <c r="H193" s="1185" t="n">
        <f aca="false">IF($A193&gt;Endyr,0,Tariff_Var)</f>
        <v>0.005</v>
      </c>
      <c r="I193" s="1186" t="n">
        <f aca="false">G193*H193/1000</f>
        <v>10.1267712</v>
      </c>
      <c r="J193" s="1188" t="n">
        <f aca="false">SUM(F193,I193)</f>
        <v>1045.4852412</v>
      </c>
      <c r="K193" s="1189" t="n">
        <f aca="false">VLOOKUP($A193,Curves_Table,Escalation!$P$291)</f>
        <v>1.59733039824151</v>
      </c>
      <c r="L193" s="1190" t="n">
        <f aca="false">J193*K193</f>
        <v>1669.98535668161</v>
      </c>
      <c r="M193" s="1191" t="str">
        <f aca="false">IF(MONTH($A193)=12,SUM(L182:L193)," ")</f>
        <v> </v>
      </c>
    </row>
    <row r="194" customFormat="false" ht="12.75" hidden="false" customHeight="false" outlineLevel="0" collapsed="false">
      <c r="A194" s="1182" t="n">
        <f aca="false">EDATE(A193,1)</f>
        <v>42491</v>
      </c>
      <c r="C194" s="1183" t="n">
        <f aca="false">A195-A194</f>
        <v>31</v>
      </c>
      <c r="D194" s="1184" t="n">
        <f aca="false">IF($A194&gt;Endyr,0,IF($A194&lt;Assm!$F$32,G194,Capacity*C194))</f>
        <v>3192690</v>
      </c>
      <c r="E194" s="1185" t="n">
        <f aca="false">IF($A194&gt;Endyr,0,Tariff_Cap)</f>
        <v>0.3351</v>
      </c>
      <c r="F194" s="1186" t="n">
        <f aca="false">D194*E194/1000</f>
        <v>1069.870419</v>
      </c>
      <c r="G194" s="1187" t="n">
        <f aca="false">[4]MMBTU!R217</f>
        <v>2092866.048</v>
      </c>
      <c r="H194" s="1185" t="n">
        <f aca="false">IF($A194&gt;Endyr,0,Tariff_Var)</f>
        <v>0.005</v>
      </c>
      <c r="I194" s="1186" t="n">
        <f aca="false">G194*H194/1000</f>
        <v>10.46433024</v>
      </c>
      <c r="J194" s="1188" t="n">
        <f aca="false">SUM(F194,I194)</f>
        <v>1080.33474924</v>
      </c>
      <c r="K194" s="1189" t="n">
        <f aca="false">VLOOKUP($A194,Curves_Table,Escalation!$P$291)</f>
        <v>1.63898344452994</v>
      </c>
      <c r="L194" s="1190" t="n">
        <f aca="false">J194*K194</f>
        <v>1770.65076855477</v>
      </c>
      <c r="M194" s="1191" t="str">
        <f aca="false">IF(MONTH($A194)=12,SUM(L183:L194)," ")</f>
        <v> </v>
      </c>
    </row>
    <row r="195" customFormat="false" ht="12.75" hidden="false" customHeight="false" outlineLevel="0" collapsed="false">
      <c r="A195" s="1182" t="n">
        <f aca="false">EDATE(A194,1)</f>
        <v>42522</v>
      </c>
      <c r="C195" s="1183" t="n">
        <f aca="false">A196-A195</f>
        <v>30</v>
      </c>
      <c r="D195" s="1184" t="n">
        <f aca="false">IF($A195&gt;Endyr,0,IF($A195&lt;Assm!$F$32,G195,Capacity*C195))</f>
        <v>3089700</v>
      </c>
      <c r="E195" s="1185" t="n">
        <f aca="false">IF($A195&gt;Endyr,0,Tariff_Cap)</f>
        <v>0.3351</v>
      </c>
      <c r="F195" s="1186" t="n">
        <f aca="false">D195*E195/1000</f>
        <v>1035.35847</v>
      </c>
      <c r="G195" s="1187" t="n">
        <f aca="false">[4]MMBTU!R218</f>
        <v>2025354.24</v>
      </c>
      <c r="H195" s="1185" t="n">
        <f aca="false">IF($A195&gt;Endyr,0,Tariff_Var)</f>
        <v>0.005</v>
      </c>
      <c r="I195" s="1186" t="n">
        <f aca="false">G195*H195/1000</f>
        <v>10.1267712</v>
      </c>
      <c r="J195" s="1188" t="n">
        <f aca="false">SUM(F195,I195)</f>
        <v>1045.4852412</v>
      </c>
      <c r="K195" s="1189" t="n">
        <f aca="false">VLOOKUP($A195,Curves_Table,Escalation!$P$291)</f>
        <v>1.63898344452994</v>
      </c>
      <c r="L195" s="1190" t="n">
        <f aca="false">J195*K195</f>
        <v>1713.53300182719</v>
      </c>
      <c r="M195" s="1191" t="str">
        <f aca="false">IF(MONTH($A195)=12,SUM(L184:L195)," ")</f>
        <v> </v>
      </c>
    </row>
    <row r="196" customFormat="false" ht="12.75" hidden="false" customHeight="false" outlineLevel="0" collapsed="false">
      <c r="A196" s="1182" t="n">
        <f aca="false">EDATE(A195,1)</f>
        <v>42552</v>
      </c>
      <c r="C196" s="1183" t="n">
        <f aca="false">A197-A196</f>
        <v>31</v>
      </c>
      <c r="D196" s="1184" t="n">
        <f aca="false">IF($A196&gt;Endyr,0,IF($A196&lt;Assm!$F$32,G196,Capacity*C196))</f>
        <v>3192690</v>
      </c>
      <c r="E196" s="1185" t="n">
        <f aca="false">IF($A196&gt;Endyr,0,Tariff_Cap)</f>
        <v>0.3351</v>
      </c>
      <c r="F196" s="1186" t="n">
        <f aca="false">D196*E196/1000</f>
        <v>1069.870419</v>
      </c>
      <c r="G196" s="1187" t="n">
        <f aca="false">[4]MMBTU!R219</f>
        <v>2092866.048</v>
      </c>
      <c r="H196" s="1185" t="n">
        <f aca="false">IF($A196&gt;Endyr,0,Tariff_Var)</f>
        <v>0.005</v>
      </c>
      <c r="I196" s="1186" t="n">
        <f aca="false">G196*H196/1000</f>
        <v>10.46433024</v>
      </c>
      <c r="J196" s="1188" t="n">
        <f aca="false">SUM(F196,I196)</f>
        <v>1080.33474924</v>
      </c>
      <c r="K196" s="1189" t="n">
        <f aca="false">VLOOKUP($A196,Curves_Table,Escalation!$P$291)</f>
        <v>1.63898344452994</v>
      </c>
      <c r="L196" s="1190" t="n">
        <f aca="false">J196*K196</f>
        <v>1770.65076855477</v>
      </c>
      <c r="M196" s="1191" t="str">
        <f aca="false">IF(MONTH($A196)=12,SUM(L185:L196)," ")</f>
        <v> </v>
      </c>
    </row>
    <row r="197" customFormat="false" ht="12.75" hidden="false" customHeight="false" outlineLevel="0" collapsed="false">
      <c r="A197" s="1182" t="n">
        <f aca="false">EDATE(A196,1)</f>
        <v>42583</v>
      </c>
      <c r="C197" s="1183" t="n">
        <f aca="false">A198-A197</f>
        <v>31</v>
      </c>
      <c r="D197" s="1184" t="n">
        <f aca="false">IF($A197&gt;Endyr,0,IF($A197&lt;Assm!$F$32,G197,Capacity*C197))</f>
        <v>3192690</v>
      </c>
      <c r="E197" s="1185" t="n">
        <f aca="false">IF($A197&gt;Endyr,0,Tariff_Cap)</f>
        <v>0.3351</v>
      </c>
      <c r="F197" s="1186" t="n">
        <f aca="false">D197*E197/1000</f>
        <v>1069.870419</v>
      </c>
      <c r="G197" s="1187" t="n">
        <f aca="false">[4]MMBTU!R220</f>
        <v>2092866.048</v>
      </c>
      <c r="H197" s="1185" t="n">
        <f aca="false">IF($A197&gt;Endyr,0,Tariff_Var)</f>
        <v>0.005</v>
      </c>
      <c r="I197" s="1186" t="n">
        <f aca="false">G197*H197/1000</f>
        <v>10.46433024</v>
      </c>
      <c r="J197" s="1188" t="n">
        <f aca="false">SUM(F197,I197)</f>
        <v>1080.33474924</v>
      </c>
      <c r="K197" s="1189" t="n">
        <f aca="false">VLOOKUP($A197,Curves_Table,Escalation!$P$291)</f>
        <v>1.63898344452994</v>
      </c>
      <c r="L197" s="1190" t="n">
        <f aca="false">J197*K197</f>
        <v>1770.65076855477</v>
      </c>
      <c r="M197" s="1191" t="str">
        <f aca="false">IF(MONTH($A197)=12,SUM(L186:L197)," ")</f>
        <v> </v>
      </c>
    </row>
    <row r="198" customFormat="false" ht="12.75" hidden="false" customHeight="false" outlineLevel="0" collapsed="false">
      <c r="A198" s="1182" t="n">
        <f aca="false">EDATE(A197,1)</f>
        <v>42614</v>
      </c>
      <c r="C198" s="1183" t="n">
        <f aca="false">A199-A198</f>
        <v>30</v>
      </c>
      <c r="D198" s="1184" t="n">
        <f aca="false">IF($A198&gt;Endyr,0,IF($A198&lt;Assm!$F$32,G198,Capacity*C198))</f>
        <v>3089700</v>
      </c>
      <c r="E198" s="1185" t="n">
        <f aca="false">IF($A198&gt;Endyr,0,Tariff_Cap)</f>
        <v>0.3351</v>
      </c>
      <c r="F198" s="1186" t="n">
        <f aca="false">D198*E198/1000</f>
        <v>1035.35847</v>
      </c>
      <c r="G198" s="1187" t="n">
        <f aca="false">[4]MMBTU!R221</f>
        <v>2025354.24</v>
      </c>
      <c r="H198" s="1185" t="n">
        <f aca="false">IF($A198&gt;Endyr,0,Tariff_Var)</f>
        <v>0.005</v>
      </c>
      <c r="I198" s="1186" t="n">
        <f aca="false">G198*H198/1000</f>
        <v>10.1267712</v>
      </c>
      <c r="J198" s="1188" t="n">
        <f aca="false">SUM(F198,I198)</f>
        <v>1045.4852412</v>
      </c>
      <c r="K198" s="1189" t="n">
        <f aca="false">VLOOKUP($A198,Curves_Table,Escalation!$P$291)</f>
        <v>1.63898344452994</v>
      </c>
      <c r="L198" s="1190" t="n">
        <f aca="false">J198*K198</f>
        <v>1713.53300182719</v>
      </c>
      <c r="M198" s="1191" t="str">
        <f aca="false">IF(MONTH($A198)=12,SUM(L187:L198)," ")</f>
        <v> </v>
      </c>
    </row>
    <row r="199" customFormat="false" ht="12.75" hidden="false" customHeight="false" outlineLevel="0" collapsed="false">
      <c r="A199" s="1182" t="n">
        <f aca="false">EDATE(A198,1)</f>
        <v>42644</v>
      </c>
      <c r="C199" s="1183" t="n">
        <f aca="false">A200-A199</f>
        <v>31</v>
      </c>
      <c r="D199" s="1184" t="n">
        <f aca="false">IF($A199&gt;Endyr,0,IF($A199&lt;Assm!$F$32,G199,Capacity*C199))</f>
        <v>3192690</v>
      </c>
      <c r="E199" s="1185" t="n">
        <f aca="false">IF($A199&gt;Endyr,0,Tariff_Cap)</f>
        <v>0.3351</v>
      </c>
      <c r="F199" s="1186" t="n">
        <f aca="false">D199*E199/1000</f>
        <v>1069.870419</v>
      </c>
      <c r="G199" s="1187" t="n">
        <f aca="false">[4]MMBTU!R222</f>
        <v>2092866.048</v>
      </c>
      <c r="H199" s="1185" t="n">
        <f aca="false">IF($A199&gt;Endyr,0,Tariff_Var)</f>
        <v>0.005</v>
      </c>
      <c r="I199" s="1186" t="n">
        <f aca="false">G199*H199/1000</f>
        <v>10.46433024</v>
      </c>
      <c r="J199" s="1188" t="n">
        <f aca="false">SUM(F199,I199)</f>
        <v>1080.33474924</v>
      </c>
      <c r="K199" s="1189" t="n">
        <f aca="false">VLOOKUP($A199,Curves_Table,Escalation!$P$291)</f>
        <v>1.63898344452994</v>
      </c>
      <c r="L199" s="1190" t="n">
        <f aca="false">J199*K199</f>
        <v>1770.65076855477</v>
      </c>
      <c r="M199" s="1191" t="str">
        <f aca="false">IF(MONTH($A199)=12,SUM(L188:L199)," ")</f>
        <v> </v>
      </c>
    </row>
    <row r="200" customFormat="false" ht="12.75" hidden="false" customHeight="false" outlineLevel="0" collapsed="false">
      <c r="A200" s="1182" t="n">
        <f aca="false">EDATE(A199,1)</f>
        <v>42675</v>
      </c>
      <c r="C200" s="1183" t="n">
        <f aca="false">A201-A200</f>
        <v>30</v>
      </c>
      <c r="D200" s="1184" t="n">
        <f aca="false">IF($A200&gt;Endyr,0,IF($A200&lt;Assm!$F$32,G200,Capacity*C200))</f>
        <v>3089700</v>
      </c>
      <c r="E200" s="1185" t="n">
        <f aca="false">IF($A200&gt;Endyr,0,Tariff_Cap)</f>
        <v>0.3351</v>
      </c>
      <c r="F200" s="1186" t="n">
        <f aca="false">D200*E200/1000</f>
        <v>1035.35847</v>
      </c>
      <c r="G200" s="1187" t="n">
        <f aca="false">[4]MMBTU!R223</f>
        <v>2025354.24</v>
      </c>
      <c r="H200" s="1185" t="n">
        <f aca="false">IF($A200&gt;Endyr,0,Tariff_Var)</f>
        <v>0.005</v>
      </c>
      <c r="I200" s="1186" t="n">
        <f aca="false">G200*H200/1000</f>
        <v>10.1267712</v>
      </c>
      <c r="J200" s="1188" t="n">
        <f aca="false">SUM(F200,I200)</f>
        <v>1045.4852412</v>
      </c>
      <c r="K200" s="1189" t="n">
        <f aca="false">VLOOKUP($A200,Curves_Table,Escalation!$P$291)</f>
        <v>1.63898344452994</v>
      </c>
      <c r="L200" s="1190" t="n">
        <f aca="false">J200*K200</f>
        <v>1713.53300182719</v>
      </c>
      <c r="M200" s="1191" t="str">
        <f aca="false">IF(MONTH($A200)=12,SUM(L189:L200)," ")</f>
        <v> </v>
      </c>
    </row>
    <row r="201" customFormat="false" ht="12.75" hidden="false" customHeight="false" outlineLevel="0" collapsed="false">
      <c r="A201" s="1182" t="n">
        <f aca="false">EDATE(A200,1)</f>
        <v>42705</v>
      </c>
      <c r="C201" s="1183" t="n">
        <f aca="false">A202-A201</f>
        <v>31</v>
      </c>
      <c r="D201" s="1184" t="n">
        <f aca="false">IF($A201&gt;Endyr,0,IF($A201&lt;Assm!$F$32,G201,Capacity*C201))</f>
        <v>3192690</v>
      </c>
      <c r="E201" s="1185" t="n">
        <f aca="false">IF($A201&gt;Endyr,0,Tariff_Cap)</f>
        <v>0.3351</v>
      </c>
      <c r="F201" s="1186" t="n">
        <f aca="false">D201*E201/1000</f>
        <v>1069.870419</v>
      </c>
      <c r="G201" s="1187" t="n">
        <f aca="false">[4]MMBTU!R224</f>
        <v>2092866.048</v>
      </c>
      <c r="H201" s="1185" t="n">
        <f aca="false">IF($A201&gt;Endyr,0,Tariff_Var)</f>
        <v>0.005</v>
      </c>
      <c r="I201" s="1186" t="n">
        <f aca="false">G201*H201/1000</f>
        <v>10.46433024</v>
      </c>
      <c r="J201" s="1188" t="n">
        <f aca="false">SUM(F201,I201)</f>
        <v>1080.33474924</v>
      </c>
      <c r="K201" s="1189" t="n">
        <f aca="false">VLOOKUP($A201,Curves_Table,Escalation!$P$291)</f>
        <v>1.63898344452994</v>
      </c>
      <c r="L201" s="1190" t="n">
        <f aca="false">J201*K201</f>
        <v>1770.65076855477</v>
      </c>
      <c r="M201" s="1191" t="n">
        <f aca="false">IF(MONTH($A201)=12,SUM(L190:L201)," ")</f>
        <v>20729.4604535379</v>
      </c>
    </row>
    <row r="202" customFormat="false" ht="12.75" hidden="false" customHeight="false" outlineLevel="0" collapsed="false">
      <c r="A202" s="1182" t="n">
        <f aca="false">EDATE(A201,1)</f>
        <v>42736</v>
      </c>
      <c r="C202" s="1183" t="n">
        <f aca="false">A203-A202</f>
        <v>31</v>
      </c>
      <c r="D202" s="1184" t="n">
        <f aca="false">IF($A202&gt;Endyr,0,IF($A202&lt;Assm!$F$32,G202,Capacity*C202))</f>
        <v>3192690</v>
      </c>
      <c r="E202" s="1185" t="n">
        <f aca="false">IF($A202&gt;Endyr,0,Tariff_Cap)</f>
        <v>0.3351</v>
      </c>
      <c r="F202" s="1186" t="n">
        <f aca="false">D202*E202/1000</f>
        <v>1069.870419</v>
      </c>
      <c r="G202" s="1187" t="n">
        <f aca="false">[4]MMBTU!R225</f>
        <v>2092866.048</v>
      </c>
      <c r="H202" s="1185" t="n">
        <f aca="false">IF($A202&gt;Endyr,0,Tariff_Var)</f>
        <v>0.005</v>
      </c>
      <c r="I202" s="1186" t="n">
        <f aca="false">G202*H202/1000</f>
        <v>10.46433024</v>
      </c>
      <c r="J202" s="1188" t="n">
        <f aca="false">SUM(F202,I202)</f>
        <v>1080.33474924</v>
      </c>
      <c r="K202" s="1189" t="n">
        <f aca="false">VLOOKUP($A202,Curves_Table,Escalation!$P$291)</f>
        <v>1.63898344452994</v>
      </c>
      <c r="L202" s="1190" t="n">
        <f aca="false">J202*K202</f>
        <v>1770.65076855477</v>
      </c>
      <c r="M202" s="1191" t="str">
        <f aca="false">IF(MONTH($A202)=12,SUM(L191:L202)," ")</f>
        <v> </v>
      </c>
    </row>
    <row r="203" customFormat="false" ht="12.75" hidden="false" customHeight="false" outlineLevel="0" collapsed="false">
      <c r="A203" s="1182" t="n">
        <f aca="false">EDATE(A202,1)</f>
        <v>42767</v>
      </c>
      <c r="C203" s="1183" t="n">
        <f aca="false">A204-A203</f>
        <v>28</v>
      </c>
      <c r="D203" s="1184" t="n">
        <f aca="false">IF($A203&gt;Endyr,0,IF($A203&lt;Assm!$F$32,G203,Capacity*C203))</f>
        <v>2883720</v>
      </c>
      <c r="E203" s="1185" t="n">
        <f aca="false">IF($A203&gt;Endyr,0,Tariff_Cap)</f>
        <v>0.3351</v>
      </c>
      <c r="F203" s="1186" t="n">
        <f aca="false">D203*E203/1000</f>
        <v>966.334572</v>
      </c>
      <c r="G203" s="1187" t="n">
        <f aca="false">[4]MMBTU!R226</f>
        <v>1890330.624</v>
      </c>
      <c r="H203" s="1185" t="n">
        <f aca="false">IF($A203&gt;Endyr,0,Tariff_Var)</f>
        <v>0.005</v>
      </c>
      <c r="I203" s="1186" t="n">
        <f aca="false">G203*H203/1000</f>
        <v>9.45165312</v>
      </c>
      <c r="J203" s="1188" t="n">
        <f aca="false">SUM(F203,I203)</f>
        <v>975.78622512</v>
      </c>
      <c r="K203" s="1189" t="n">
        <f aca="false">VLOOKUP($A203,Curves_Table,Escalation!$P$291)</f>
        <v>1.63898344452994</v>
      </c>
      <c r="L203" s="1190" t="n">
        <f aca="false">J203*K203</f>
        <v>1599.29746837205</v>
      </c>
      <c r="M203" s="1191" t="str">
        <f aca="false">IF(MONTH($A203)=12,SUM(L192:L203)," ")</f>
        <v> </v>
      </c>
    </row>
    <row r="204" customFormat="false" ht="12.75" hidden="false" customHeight="false" outlineLevel="0" collapsed="false">
      <c r="A204" s="1182" t="n">
        <f aca="false">EDATE(A203,1)</f>
        <v>42795</v>
      </c>
      <c r="C204" s="1183" t="n">
        <f aca="false">A205-A204</f>
        <v>31</v>
      </c>
      <c r="D204" s="1184" t="n">
        <f aca="false">IF($A204&gt;Endyr,0,IF($A204&lt;Assm!$F$32,G204,Capacity*C204))</f>
        <v>3192690</v>
      </c>
      <c r="E204" s="1185" t="n">
        <f aca="false">IF($A204&gt;Endyr,0,Tariff_Cap)</f>
        <v>0.3351</v>
      </c>
      <c r="F204" s="1186" t="n">
        <f aca="false">D204*E204/1000</f>
        <v>1069.870419</v>
      </c>
      <c r="G204" s="1187" t="n">
        <f aca="false">[4]MMBTU!R227</f>
        <v>2092866.048</v>
      </c>
      <c r="H204" s="1185" t="n">
        <f aca="false">IF($A204&gt;Endyr,0,Tariff_Var)</f>
        <v>0.005</v>
      </c>
      <c r="I204" s="1186" t="n">
        <f aca="false">G204*H204/1000</f>
        <v>10.46433024</v>
      </c>
      <c r="J204" s="1188" t="n">
        <f aca="false">SUM(F204,I204)</f>
        <v>1080.33474924</v>
      </c>
      <c r="K204" s="1189" t="n">
        <f aca="false">VLOOKUP($A204,Curves_Table,Escalation!$P$291)</f>
        <v>1.63898344452994</v>
      </c>
      <c r="L204" s="1190" t="n">
        <f aca="false">J204*K204</f>
        <v>1770.65076855477</v>
      </c>
      <c r="M204" s="1191" t="str">
        <f aca="false">IF(MONTH($A204)=12,SUM(L193:L204)," ")</f>
        <v> </v>
      </c>
    </row>
    <row r="205" customFormat="false" ht="12.75" hidden="false" customHeight="false" outlineLevel="0" collapsed="false">
      <c r="A205" s="1182" t="n">
        <f aca="false">EDATE(A204,1)</f>
        <v>42826</v>
      </c>
      <c r="C205" s="1183" t="n">
        <f aca="false">A206-A205</f>
        <v>30</v>
      </c>
      <c r="D205" s="1184" t="n">
        <f aca="false">IF($A205&gt;Endyr,0,IF($A205&lt;Assm!$F$32,G205,Capacity*C205))</f>
        <v>3089700</v>
      </c>
      <c r="E205" s="1185" t="n">
        <f aca="false">IF($A205&gt;Endyr,0,Tariff_Cap)</f>
        <v>0.3351</v>
      </c>
      <c r="F205" s="1186" t="n">
        <f aca="false">D205*E205/1000</f>
        <v>1035.35847</v>
      </c>
      <c r="G205" s="1187" t="n">
        <f aca="false">[4]MMBTU!R228</f>
        <v>2025354.24</v>
      </c>
      <c r="H205" s="1185" t="n">
        <f aca="false">IF($A205&gt;Endyr,0,Tariff_Var)</f>
        <v>0.005</v>
      </c>
      <c r="I205" s="1186" t="n">
        <f aca="false">G205*H205/1000</f>
        <v>10.1267712</v>
      </c>
      <c r="J205" s="1188" t="n">
        <f aca="false">SUM(F205,I205)</f>
        <v>1045.4852412</v>
      </c>
      <c r="K205" s="1189" t="n">
        <f aca="false">VLOOKUP($A205,Curves_Table,Escalation!$P$291)</f>
        <v>1.63898344452994</v>
      </c>
      <c r="L205" s="1190" t="n">
        <f aca="false">J205*K205</f>
        <v>1713.53300182719</v>
      </c>
      <c r="M205" s="1191" t="str">
        <f aca="false">IF(MONTH($A205)=12,SUM(L194:L205)," ")</f>
        <v> </v>
      </c>
    </row>
    <row r="206" customFormat="false" ht="12.75" hidden="false" customHeight="false" outlineLevel="0" collapsed="false">
      <c r="A206" s="1182" t="n">
        <f aca="false">EDATE(A205,1)</f>
        <v>42856</v>
      </c>
      <c r="C206" s="1183" t="n">
        <f aca="false">A207-A206</f>
        <v>31</v>
      </c>
      <c r="D206" s="1184" t="n">
        <f aca="false">IF($A206&gt;Endyr,0,IF($A206&lt;Assm!$F$32,G206,Capacity*C206))</f>
        <v>3192690</v>
      </c>
      <c r="E206" s="1185" t="n">
        <f aca="false">IF($A206&gt;Endyr,0,Tariff_Cap)</f>
        <v>0.3351</v>
      </c>
      <c r="F206" s="1186" t="n">
        <f aca="false">D206*E206/1000</f>
        <v>1069.870419</v>
      </c>
      <c r="G206" s="1187" t="n">
        <f aca="false">[4]MMBTU!R229</f>
        <v>2092866.048</v>
      </c>
      <c r="H206" s="1185" t="n">
        <f aca="false">IF($A206&gt;Endyr,0,Tariff_Var)</f>
        <v>0.005</v>
      </c>
      <c r="I206" s="1186" t="n">
        <f aca="false">G206*H206/1000</f>
        <v>10.46433024</v>
      </c>
      <c r="J206" s="1188" t="n">
        <f aca="false">SUM(F206,I206)</f>
        <v>1080.33474924</v>
      </c>
      <c r="K206" s="1189" t="n">
        <f aca="false">VLOOKUP($A206,Curves_Table,Escalation!$P$291)</f>
        <v>1.68254669873615</v>
      </c>
      <c r="L206" s="1190" t="n">
        <f aca="false">J206*K206</f>
        <v>1817.71366586371</v>
      </c>
      <c r="M206" s="1191" t="str">
        <f aca="false">IF(MONTH($A206)=12,SUM(L195:L206)," ")</f>
        <v> </v>
      </c>
    </row>
    <row r="207" customFormat="false" ht="12.75" hidden="false" customHeight="false" outlineLevel="0" collapsed="false">
      <c r="A207" s="1182" t="n">
        <f aca="false">EDATE(A206,1)</f>
        <v>42887</v>
      </c>
      <c r="C207" s="1183" t="n">
        <f aca="false">A208-A207</f>
        <v>30</v>
      </c>
      <c r="D207" s="1184" t="n">
        <f aca="false">IF($A207&gt;Endyr,0,IF($A207&lt;Assm!$F$32,G207,Capacity*C207))</f>
        <v>3089700</v>
      </c>
      <c r="E207" s="1185" t="n">
        <f aca="false">IF($A207&gt;Endyr,0,Tariff_Cap)</f>
        <v>0.3351</v>
      </c>
      <c r="F207" s="1186" t="n">
        <f aca="false">D207*E207/1000</f>
        <v>1035.35847</v>
      </c>
      <c r="G207" s="1187" t="n">
        <f aca="false">[4]MMBTU!R230</f>
        <v>2025354.24</v>
      </c>
      <c r="H207" s="1185" t="n">
        <f aca="false">IF($A207&gt;Endyr,0,Tariff_Var)</f>
        <v>0.005</v>
      </c>
      <c r="I207" s="1186" t="n">
        <f aca="false">G207*H207/1000</f>
        <v>10.1267712</v>
      </c>
      <c r="J207" s="1188" t="n">
        <f aca="false">SUM(F207,I207)</f>
        <v>1045.4852412</v>
      </c>
      <c r="K207" s="1189" t="n">
        <f aca="false">VLOOKUP($A207,Curves_Table,Escalation!$P$291)</f>
        <v>1.68254669873615</v>
      </c>
      <c r="L207" s="1190" t="n">
        <f aca="false">J207*K207</f>
        <v>1759.07774115843</v>
      </c>
      <c r="M207" s="1191" t="str">
        <f aca="false">IF(MONTH($A207)=12,SUM(L196:L207)," ")</f>
        <v> </v>
      </c>
    </row>
    <row r="208" customFormat="false" ht="12.75" hidden="false" customHeight="false" outlineLevel="0" collapsed="false">
      <c r="A208" s="1182" t="n">
        <f aca="false">EDATE(A207,1)</f>
        <v>42917</v>
      </c>
      <c r="C208" s="1183" t="n">
        <f aca="false">A209-A208</f>
        <v>31</v>
      </c>
      <c r="D208" s="1184" t="n">
        <f aca="false">IF($A208&gt;Endyr,0,IF($A208&lt;Assm!$F$32,G208,Capacity*C208))</f>
        <v>3192690</v>
      </c>
      <c r="E208" s="1185" t="n">
        <f aca="false">IF($A208&gt;Endyr,0,Tariff_Cap)</f>
        <v>0.3351</v>
      </c>
      <c r="F208" s="1186" t="n">
        <f aca="false">D208*E208/1000</f>
        <v>1069.870419</v>
      </c>
      <c r="G208" s="1187" t="n">
        <f aca="false">[4]MMBTU!R231</f>
        <v>2092866.048</v>
      </c>
      <c r="H208" s="1185" t="n">
        <f aca="false">IF($A208&gt;Endyr,0,Tariff_Var)</f>
        <v>0.005</v>
      </c>
      <c r="I208" s="1186" t="n">
        <f aca="false">G208*H208/1000</f>
        <v>10.46433024</v>
      </c>
      <c r="J208" s="1188" t="n">
        <f aca="false">SUM(F208,I208)</f>
        <v>1080.33474924</v>
      </c>
      <c r="K208" s="1189" t="n">
        <f aca="false">VLOOKUP($A208,Curves_Table,Escalation!$P$291)</f>
        <v>1.68254669873615</v>
      </c>
      <c r="L208" s="1190" t="n">
        <f aca="false">J208*K208</f>
        <v>1817.71366586371</v>
      </c>
      <c r="M208" s="1191" t="str">
        <f aca="false">IF(MONTH($A208)=12,SUM(L197:L208)," ")</f>
        <v> </v>
      </c>
    </row>
    <row r="209" customFormat="false" ht="12.75" hidden="false" customHeight="false" outlineLevel="0" collapsed="false">
      <c r="A209" s="1182" t="n">
        <f aca="false">EDATE(A208,1)</f>
        <v>42948</v>
      </c>
      <c r="C209" s="1183" t="n">
        <f aca="false">A210-A209</f>
        <v>31</v>
      </c>
      <c r="D209" s="1184" t="n">
        <f aca="false">IF($A209&gt;Endyr,0,IF($A209&lt;Assm!$F$32,G209,Capacity*C209))</f>
        <v>3192690</v>
      </c>
      <c r="E209" s="1185" t="n">
        <f aca="false">IF($A209&gt;Endyr,0,Tariff_Cap)</f>
        <v>0.3351</v>
      </c>
      <c r="F209" s="1186" t="n">
        <f aca="false">D209*E209/1000</f>
        <v>1069.870419</v>
      </c>
      <c r="G209" s="1187" t="n">
        <f aca="false">[4]MMBTU!R232</f>
        <v>2092866.048</v>
      </c>
      <c r="H209" s="1185" t="n">
        <f aca="false">IF($A209&gt;Endyr,0,Tariff_Var)</f>
        <v>0.005</v>
      </c>
      <c r="I209" s="1186" t="n">
        <f aca="false">G209*H209/1000</f>
        <v>10.46433024</v>
      </c>
      <c r="J209" s="1188" t="n">
        <f aca="false">SUM(F209,I209)</f>
        <v>1080.33474924</v>
      </c>
      <c r="K209" s="1189" t="n">
        <f aca="false">VLOOKUP($A209,Curves_Table,Escalation!$P$291)</f>
        <v>1.68254669873615</v>
      </c>
      <c r="L209" s="1190" t="n">
        <f aca="false">J209*K209</f>
        <v>1817.71366586371</v>
      </c>
      <c r="M209" s="1191" t="str">
        <f aca="false">IF(MONTH($A209)=12,SUM(L198:L209)," ")</f>
        <v> </v>
      </c>
    </row>
    <row r="210" customFormat="false" ht="12.75" hidden="false" customHeight="false" outlineLevel="0" collapsed="false">
      <c r="A210" s="1182" t="n">
        <f aca="false">EDATE(A209,1)</f>
        <v>42979</v>
      </c>
      <c r="C210" s="1183" t="n">
        <f aca="false">A211-A210</f>
        <v>30</v>
      </c>
      <c r="D210" s="1184" t="n">
        <f aca="false">IF($A210&gt;Endyr,0,IF($A210&lt;Assm!$F$32,G210,Capacity*C210))</f>
        <v>3089700</v>
      </c>
      <c r="E210" s="1185" t="n">
        <f aca="false">IF($A210&gt;Endyr,0,Tariff_Cap)</f>
        <v>0.3351</v>
      </c>
      <c r="F210" s="1186" t="n">
        <f aca="false">D210*E210/1000</f>
        <v>1035.35847</v>
      </c>
      <c r="G210" s="1187" t="n">
        <f aca="false">[4]MMBTU!R233</f>
        <v>2025354.24</v>
      </c>
      <c r="H210" s="1185" t="n">
        <f aca="false">IF($A210&gt;Endyr,0,Tariff_Var)</f>
        <v>0.005</v>
      </c>
      <c r="I210" s="1186" t="n">
        <f aca="false">G210*H210/1000</f>
        <v>10.1267712</v>
      </c>
      <c r="J210" s="1188" t="n">
        <f aca="false">SUM(F210,I210)</f>
        <v>1045.4852412</v>
      </c>
      <c r="K210" s="1189" t="n">
        <f aca="false">VLOOKUP($A210,Curves_Table,Escalation!$P$291)</f>
        <v>1.68254669873615</v>
      </c>
      <c r="L210" s="1190" t="n">
        <f aca="false">J210*K210</f>
        <v>1759.07774115843</v>
      </c>
      <c r="M210" s="1191" t="str">
        <f aca="false">IF(MONTH($A210)=12,SUM(L199:L210)," ")</f>
        <v> </v>
      </c>
    </row>
    <row r="211" customFormat="false" ht="12.75" hidden="false" customHeight="false" outlineLevel="0" collapsed="false">
      <c r="A211" s="1182" t="n">
        <f aca="false">EDATE(A210,1)</f>
        <v>43009</v>
      </c>
      <c r="C211" s="1183" t="n">
        <f aca="false">A212-A211</f>
        <v>31</v>
      </c>
      <c r="D211" s="1184" t="n">
        <f aca="false">IF($A211&gt;Endyr,0,IF($A211&lt;Assm!$F$32,G211,Capacity*C211))</f>
        <v>3192690</v>
      </c>
      <c r="E211" s="1185" t="n">
        <f aca="false">IF($A211&gt;Endyr,0,Tariff_Cap)</f>
        <v>0.3351</v>
      </c>
      <c r="F211" s="1186" t="n">
        <f aca="false">D211*E211/1000</f>
        <v>1069.870419</v>
      </c>
      <c r="G211" s="1187" t="n">
        <f aca="false">[4]MMBTU!R234</f>
        <v>2092866.048</v>
      </c>
      <c r="H211" s="1185" t="n">
        <f aca="false">IF($A211&gt;Endyr,0,Tariff_Var)</f>
        <v>0.005</v>
      </c>
      <c r="I211" s="1186" t="n">
        <f aca="false">G211*H211/1000</f>
        <v>10.46433024</v>
      </c>
      <c r="J211" s="1188" t="n">
        <f aca="false">SUM(F211,I211)</f>
        <v>1080.33474924</v>
      </c>
      <c r="K211" s="1189" t="n">
        <f aca="false">VLOOKUP($A211,Curves_Table,Escalation!$P$291)</f>
        <v>1.68254669873615</v>
      </c>
      <c r="L211" s="1190" t="n">
        <f aca="false">J211*K211</f>
        <v>1817.71366586371</v>
      </c>
      <c r="M211" s="1191" t="str">
        <f aca="false">IF(MONTH($A211)=12,SUM(L200:L211)," ")</f>
        <v> </v>
      </c>
    </row>
    <row r="212" customFormat="false" ht="12.75" hidden="false" customHeight="false" outlineLevel="0" collapsed="false">
      <c r="A212" s="1182" t="n">
        <f aca="false">EDATE(A211,1)</f>
        <v>43040</v>
      </c>
      <c r="C212" s="1183" t="n">
        <f aca="false">A213-A212</f>
        <v>30</v>
      </c>
      <c r="D212" s="1184" t="n">
        <f aca="false">IF($A212&gt;Endyr,0,IF($A212&lt;Assm!$F$32,G212,Capacity*C212))</f>
        <v>3089700</v>
      </c>
      <c r="E212" s="1185" t="n">
        <f aca="false">IF($A212&gt;Endyr,0,Tariff_Cap)</f>
        <v>0.3351</v>
      </c>
      <c r="F212" s="1186" t="n">
        <f aca="false">D212*E212/1000</f>
        <v>1035.35847</v>
      </c>
      <c r="G212" s="1187" t="n">
        <f aca="false">[4]MMBTU!R235</f>
        <v>2025354.24</v>
      </c>
      <c r="H212" s="1185" t="n">
        <f aca="false">IF($A212&gt;Endyr,0,Tariff_Var)</f>
        <v>0.005</v>
      </c>
      <c r="I212" s="1186" t="n">
        <f aca="false">G212*H212/1000</f>
        <v>10.1267712</v>
      </c>
      <c r="J212" s="1188" t="n">
        <f aca="false">SUM(F212,I212)</f>
        <v>1045.4852412</v>
      </c>
      <c r="K212" s="1189" t="n">
        <f aca="false">VLOOKUP($A212,Curves_Table,Escalation!$P$291)</f>
        <v>1.68254669873615</v>
      </c>
      <c r="L212" s="1190" t="n">
        <f aca="false">J212*K212</f>
        <v>1759.07774115843</v>
      </c>
      <c r="M212" s="1191" t="str">
        <f aca="false">IF(MONTH($A212)=12,SUM(L201:L212)," ")</f>
        <v> </v>
      </c>
    </row>
    <row r="213" customFormat="false" ht="12.75" hidden="false" customHeight="false" outlineLevel="0" collapsed="false">
      <c r="A213" s="1182" t="n">
        <f aca="false">EDATE(A212,1)</f>
        <v>43070</v>
      </c>
      <c r="C213" s="1183" t="n">
        <f aca="false">A214-A213</f>
        <v>31</v>
      </c>
      <c r="D213" s="1184" t="n">
        <f aca="false">IF($A213&gt;Endyr,0,IF($A213&lt;Assm!$F$32,G213,Capacity*C213))</f>
        <v>3192690</v>
      </c>
      <c r="E213" s="1185" t="n">
        <f aca="false">IF($A213&gt;Endyr,0,Tariff_Cap)</f>
        <v>0.3351</v>
      </c>
      <c r="F213" s="1186" t="n">
        <f aca="false">D213*E213/1000</f>
        <v>1069.870419</v>
      </c>
      <c r="G213" s="1187" t="n">
        <f aca="false">[4]MMBTU!R236</f>
        <v>2092866.048</v>
      </c>
      <c r="H213" s="1185" t="n">
        <f aca="false">IF($A213&gt;Endyr,0,Tariff_Var)</f>
        <v>0.005</v>
      </c>
      <c r="I213" s="1186" t="n">
        <f aca="false">G213*H213/1000</f>
        <v>10.46433024</v>
      </c>
      <c r="J213" s="1188" t="n">
        <f aca="false">SUM(F213,I213)</f>
        <v>1080.33474924</v>
      </c>
      <c r="K213" s="1189" t="n">
        <f aca="false">VLOOKUP($A213,Curves_Table,Escalation!$P$291)</f>
        <v>1.68254669873615</v>
      </c>
      <c r="L213" s="1190" t="n">
        <f aca="false">J213*K213</f>
        <v>1817.71366586371</v>
      </c>
      <c r="M213" s="1191" t="n">
        <f aca="false">IF(MONTH($A213)=12,SUM(L202:L213)," ")</f>
        <v>21219.9335601026</v>
      </c>
    </row>
    <row r="214" customFormat="false" ht="12.75" hidden="false" customHeight="false" outlineLevel="0" collapsed="false">
      <c r="A214" s="1182" t="n">
        <f aca="false">EDATE(A213,1)</f>
        <v>43101</v>
      </c>
      <c r="C214" s="1183" t="n">
        <f aca="false">A215-A214</f>
        <v>31</v>
      </c>
      <c r="D214" s="1184" t="n">
        <f aca="false">IF($A214&gt;Endyr,0,IF($A214&lt;Assm!$F$32,G214,Capacity*C214))</f>
        <v>3192690</v>
      </c>
      <c r="E214" s="1185" t="n">
        <f aca="false">IF($A214&gt;Endyr,0,Tariff_Cap)</f>
        <v>0.3351</v>
      </c>
      <c r="F214" s="1186" t="n">
        <f aca="false">D214*E214/1000</f>
        <v>1069.870419</v>
      </c>
      <c r="G214" s="1187" t="n">
        <f aca="false">[4]MMBTU!R237</f>
        <v>2092866.048</v>
      </c>
      <c r="H214" s="1185" t="n">
        <f aca="false">IF($A214&gt;Endyr,0,Tariff_Var)</f>
        <v>0.005</v>
      </c>
      <c r="I214" s="1186" t="n">
        <f aca="false">G214*H214/1000</f>
        <v>10.46433024</v>
      </c>
      <c r="J214" s="1188" t="n">
        <f aca="false">SUM(F214,I214)</f>
        <v>1080.33474924</v>
      </c>
      <c r="K214" s="1189" t="n">
        <f aca="false">VLOOKUP($A214,Curves_Table,Escalation!$P$291)</f>
        <v>1.68254669873615</v>
      </c>
      <c r="L214" s="1190" t="n">
        <f aca="false">J214*K214</f>
        <v>1817.71366586371</v>
      </c>
      <c r="M214" s="1191" t="str">
        <f aca="false">IF(MONTH($A214)=12,SUM(L203:L214)," ")</f>
        <v> </v>
      </c>
    </row>
    <row r="215" customFormat="false" ht="12.75" hidden="false" customHeight="false" outlineLevel="0" collapsed="false">
      <c r="A215" s="1182" t="n">
        <f aca="false">EDATE(A214,1)</f>
        <v>43132</v>
      </c>
      <c r="C215" s="1183" t="n">
        <f aca="false">A216-A215</f>
        <v>28</v>
      </c>
      <c r="D215" s="1184" t="n">
        <f aca="false">IF($A215&gt;Endyr,0,IF($A215&lt;Assm!$F$32,G215,Capacity*C215))</f>
        <v>2883720</v>
      </c>
      <c r="E215" s="1185" t="n">
        <f aca="false">IF($A215&gt;Endyr,0,Tariff_Cap)</f>
        <v>0.3351</v>
      </c>
      <c r="F215" s="1186" t="n">
        <f aca="false">D215*E215/1000</f>
        <v>966.334572</v>
      </c>
      <c r="G215" s="1187" t="n">
        <f aca="false">[4]MMBTU!R238</f>
        <v>1890330.624</v>
      </c>
      <c r="H215" s="1185" t="n">
        <f aca="false">IF($A215&gt;Endyr,0,Tariff_Var)</f>
        <v>0.005</v>
      </c>
      <c r="I215" s="1186" t="n">
        <f aca="false">G215*H215/1000</f>
        <v>9.45165312</v>
      </c>
      <c r="J215" s="1188" t="n">
        <f aca="false">SUM(F215,I215)</f>
        <v>975.78622512</v>
      </c>
      <c r="K215" s="1189" t="n">
        <f aca="false">VLOOKUP($A215,Curves_Table,Escalation!$P$291)</f>
        <v>1.68254669873615</v>
      </c>
      <c r="L215" s="1190" t="n">
        <f aca="false">J215*K215</f>
        <v>1641.80589174786</v>
      </c>
      <c r="M215" s="1191" t="str">
        <f aca="false">IF(MONTH($A215)=12,SUM(L204:L215)," ")</f>
        <v> </v>
      </c>
    </row>
    <row r="216" customFormat="false" ht="12.75" hidden="false" customHeight="false" outlineLevel="0" collapsed="false">
      <c r="A216" s="1182" t="n">
        <f aca="false">EDATE(A215,1)</f>
        <v>43160</v>
      </c>
      <c r="C216" s="1183" t="n">
        <f aca="false">A217-A216</f>
        <v>31</v>
      </c>
      <c r="D216" s="1184" t="n">
        <f aca="false">IF($A216&gt;Endyr,0,IF($A216&lt;Assm!$F$32,G216,Capacity*C216))</f>
        <v>3192690</v>
      </c>
      <c r="E216" s="1185" t="n">
        <f aca="false">IF($A216&gt;Endyr,0,Tariff_Cap)</f>
        <v>0.3351</v>
      </c>
      <c r="F216" s="1186" t="n">
        <f aca="false">D216*E216/1000</f>
        <v>1069.870419</v>
      </c>
      <c r="G216" s="1187" t="n">
        <f aca="false">[4]MMBTU!R239</f>
        <v>2092866.048</v>
      </c>
      <c r="H216" s="1185" t="n">
        <f aca="false">IF($A216&gt;Endyr,0,Tariff_Var)</f>
        <v>0.005</v>
      </c>
      <c r="I216" s="1186" t="n">
        <f aca="false">G216*H216/1000</f>
        <v>10.46433024</v>
      </c>
      <c r="J216" s="1188" t="n">
        <f aca="false">SUM(F216,I216)</f>
        <v>1080.33474924</v>
      </c>
      <c r="K216" s="1189" t="n">
        <f aca="false">VLOOKUP($A216,Curves_Table,Escalation!$P$291)</f>
        <v>1.68254669873615</v>
      </c>
      <c r="L216" s="1190" t="n">
        <f aca="false">J216*K216</f>
        <v>1817.71366586371</v>
      </c>
      <c r="M216" s="1191" t="str">
        <f aca="false">IF(MONTH($A216)=12,SUM(L205:L216)," ")</f>
        <v> </v>
      </c>
    </row>
    <row r="217" customFormat="false" ht="12.75" hidden="false" customHeight="false" outlineLevel="0" collapsed="false">
      <c r="A217" s="1182" t="n">
        <f aca="false">EDATE(A216,1)</f>
        <v>43191</v>
      </c>
      <c r="C217" s="1183" t="n">
        <f aca="false">A218-A217</f>
        <v>30</v>
      </c>
      <c r="D217" s="1184" t="n">
        <f aca="false">IF($A217&gt;Endyr,0,IF($A217&lt;Assm!$F$32,G217,Capacity*C217))</f>
        <v>3089700</v>
      </c>
      <c r="E217" s="1185" t="n">
        <f aca="false">IF($A217&gt;Endyr,0,Tariff_Cap)</f>
        <v>0.3351</v>
      </c>
      <c r="F217" s="1186" t="n">
        <f aca="false">D217*E217/1000</f>
        <v>1035.35847</v>
      </c>
      <c r="G217" s="1187" t="n">
        <f aca="false">[4]MMBTU!R240</f>
        <v>2025354.24</v>
      </c>
      <c r="H217" s="1185" t="n">
        <f aca="false">IF($A217&gt;Endyr,0,Tariff_Var)</f>
        <v>0.005</v>
      </c>
      <c r="I217" s="1186" t="n">
        <f aca="false">G217*H217/1000</f>
        <v>10.1267712</v>
      </c>
      <c r="J217" s="1188" t="n">
        <f aca="false">SUM(F217,I217)</f>
        <v>1045.4852412</v>
      </c>
      <c r="K217" s="1189" t="n">
        <f aca="false">VLOOKUP($A217,Curves_Table,Escalation!$P$291)</f>
        <v>1.68254669873615</v>
      </c>
      <c r="L217" s="1190" t="n">
        <f aca="false">J217*K217</f>
        <v>1759.07774115843</v>
      </c>
      <c r="M217" s="1191" t="str">
        <f aca="false">IF(MONTH($A217)=12,SUM(L206:L217)," ")</f>
        <v> </v>
      </c>
    </row>
    <row r="218" customFormat="false" ht="12.75" hidden="false" customHeight="false" outlineLevel="0" collapsed="false">
      <c r="A218" s="1182" t="n">
        <f aca="false">EDATE(A217,1)</f>
        <v>43221</v>
      </c>
      <c r="C218" s="1183" t="n">
        <f aca="false">A219-A218</f>
        <v>31</v>
      </c>
      <c r="D218" s="1184" t="n">
        <f aca="false">IF($A218&gt;Endyr,0,IF($A218&lt;Assm!$F$32,G218,Capacity*C218))</f>
        <v>3192690</v>
      </c>
      <c r="E218" s="1185" t="n">
        <f aca="false">IF($A218&gt;Endyr,0,Tariff_Cap)</f>
        <v>0.3351</v>
      </c>
      <c r="F218" s="1186" t="n">
        <f aca="false">D218*E218/1000</f>
        <v>1069.870419</v>
      </c>
      <c r="G218" s="1187" t="n">
        <f aca="false">[4]MMBTU!R241</f>
        <v>2092866.048</v>
      </c>
      <c r="H218" s="1185" t="n">
        <f aca="false">IF($A218&gt;Endyr,0,Tariff_Var)</f>
        <v>0.005</v>
      </c>
      <c r="I218" s="1186" t="n">
        <f aca="false">G218*H218/1000</f>
        <v>10.46433024</v>
      </c>
      <c r="J218" s="1188" t="n">
        <f aca="false">SUM(F218,I218)</f>
        <v>1080.33474924</v>
      </c>
      <c r="K218" s="1189" t="n">
        <f aca="false">VLOOKUP($A218,Curves_Table,Escalation!$P$291)</f>
        <v>1.72801332733687</v>
      </c>
      <c r="L218" s="1190" t="n">
        <f aca="false">J218*K218</f>
        <v>1866.83284467185</v>
      </c>
      <c r="M218" s="1191" t="str">
        <f aca="false">IF(MONTH($A218)=12,SUM(L207:L218)," ")</f>
        <v> </v>
      </c>
    </row>
    <row r="219" customFormat="false" ht="12.75" hidden="false" customHeight="false" outlineLevel="0" collapsed="false">
      <c r="A219" s="1182" t="n">
        <f aca="false">EDATE(A218,1)</f>
        <v>43252</v>
      </c>
      <c r="C219" s="1183" t="n">
        <f aca="false">A220-A219</f>
        <v>30</v>
      </c>
      <c r="D219" s="1184" t="n">
        <f aca="false">IF($A219&gt;Endyr,0,IF($A219&lt;Assm!$F$32,G219,Capacity*C219))</f>
        <v>3089700</v>
      </c>
      <c r="E219" s="1185" t="n">
        <f aca="false">IF($A219&gt;Endyr,0,Tariff_Cap)</f>
        <v>0.3351</v>
      </c>
      <c r="F219" s="1186" t="n">
        <f aca="false">D219*E219/1000</f>
        <v>1035.35847</v>
      </c>
      <c r="G219" s="1187" t="n">
        <f aca="false">[4]MMBTU!R242</f>
        <v>2025354.24</v>
      </c>
      <c r="H219" s="1185" t="n">
        <f aca="false">IF($A219&gt;Endyr,0,Tariff_Var)</f>
        <v>0.005</v>
      </c>
      <c r="I219" s="1186" t="n">
        <f aca="false">G219*H219/1000</f>
        <v>10.1267712</v>
      </c>
      <c r="J219" s="1188" t="n">
        <f aca="false">SUM(F219,I219)</f>
        <v>1045.4852412</v>
      </c>
      <c r="K219" s="1189" t="n">
        <f aca="false">VLOOKUP($A219,Curves_Table,Escalation!$P$291)</f>
        <v>1.72801332733687</v>
      </c>
      <c r="L219" s="1190" t="n">
        <f aca="false">J219*K219</f>
        <v>1806.6124303276</v>
      </c>
      <c r="M219" s="1191" t="str">
        <f aca="false">IF(MONTH($A219)=12,SUM(L208:L219)," ")</f>
        <v> </v>
      </c>
    </row>
    <row r="220" customFormat="false" ht="12.75" hidden="false" customHeight="false" outlineLevel="0" collapsed="false">
      <c r="A220" s="1182" t="n">
        <f aca="false">EDATE(A219,1)</f>
        <v>43282</v>
      </c>
      <c r="C220" s="1183" t="n">
        <f aca="false">A221-A220</f>
        <v>31</v>
      </c>
      <c r="D220" s="1184" t="n">
        <f aca="false">IF($A220&gt;Endyr,0,IF($A220&lt;Assm!$F$32,G220,Capacity*C220))</f>
        <v>3192690</v>
      </c>
      <c r="E220" s="1185" t="n">
        <f aca="false">IF($A220&gt;Endyr,0,Tariff_Cap)</f>
        <v>0.3351</v>
      </c>
      <c r="F220" s="1186" t="n">
        <f aca="false">D220*E220/1000</f>
        <v>1069.870419</v>
      </c>
      <c r="G220" s="1187" t="n">
        <f aca="false">[4]MMBTU!R243</f>
        <v>2092866.048</v>
      </c>
      <c r="H220" s="1185" t="n">
        <f aca="false">IF($A220&gt;Endyr,0,Tariff_Var)</f>
        <v>0.005</v>
      </c>
      <c r="I220" s="1186" t="n">
        <f aca="false">G220*H220/1000</f>
        <v>10.46433024</v>
      </c>
      <c r="J220" s="1188" t="n">
        <f aca="false">SUM(F220,I220)</f>
        <v>1080.33474924</v>
      </c>
      <c r="K220" s="1189" t="n">
        <f aca="false">VLOOKUP($A220,Curves_Table,Escalation!$P$291)</f>
        <v>1.72801332733687</v>
      </c>
      <c r="L220" s="1190" t="n">
        <f aca="false">J220*K220</f>
        <v>1866.83284467185</v>
      </c>
      <c r="M220" s="1191" t="str">
        <f aca="false">IF(MONTH($A220)=12,SUM(L209:L220)," ")</f>
        <v> </v>
      </c>
    </row>
    <row r="221" customFormat="false" ht="12.75" hidden="false" customHeight="false" outlineLevel="0" collapsed="false">
      <c r="A221" s="1182" t="n">
        <f aca="false">EDATE(A220,1)</f>
        <v>43313</v>
      </c>
      <c r="C221" s="1183" t="n">
        <f aca="false">A222-A221</f>
        <v>31</v>
      </c>
      <c r="D221" s="1184" t="n">
        <f aca="false">IF($A221&gt;Endyr,0,IF($A221&lt;Assm!$F$32,G221,Capacity*C221))</f>
        <v>3192690</v>
      </c>
      <c r="E221" s="1185" t="n">
        <f aca="false">IF($A221&gt;Endyr,0,Tariff_Cap)</f>
        <v>0.3351</v>
      </c>
      <c r="F221" s="1186" t="n">
        <f aca="false">D221*E221/1000</f>
        <v>1069.870419</v>
      </c>
      <c r="G221" s="1187" t="n">
        <f aca="false">[4]MMBTU!R244</f>
        <v>2092866.048</v>
      </c>
      <c r="H221" s="1185" t="n">
        <f aca="false">IF($A221&gt;Endyr,0,Tariff_Var)</f>
        <v>0.005</v>
      </c>
      <c r="I221" s="1186" t="n">
        <f aca="false">G221*H221/1000</f>
        <v>10.46433024</v>
      </c>
      <c r="J221" s="1188" t="n">
        <f aca="false">SUM(F221,I221)</f>
        <v>1080.33474924</v>
      </c>
      <c r="K221" s="1189" t="n">
        <f aca="false">VLOOKUP($A221,Curves_Table,Escalation!$P$291)</f>
        <v>1.72801332733687</v>
      </c>
      <c r="L221" s="1190" t="n">
        <f aca="false">J221*K221</f>
        <v>1866.83284467185</v>
      </c>
      <c r="M221" s="1191" t="str">
        <f aca="false">IF(MONTH($A221)=12,SUM(L210:L221)," ")</f>
        <v> </v>
      </c>
    </row>
    <row r="222" customFormat="false" ht="12.75" hidden="false" customHeight="false" outlineLevel="0" collapsed="false">
      <c r="A222" s="1182" t="n">
        <f aca="false">EDATE(A221,1)</f>
        <v>43344</v>
      </c>
      <c r="C222" s="1183" t="n">
        <f aca="false">A223-A222</f>
        <v>30</v>
      </c>
      <c r="D222" s="1184" t="n">
        <f aca="false">IF($A222&gt;Endyr,0,IF($A222&lt;Assm!$F$32,G222,Capacity*C222))</f>
        <v>3089700</v>
      </c>
      <c r="E222" s="1185" t="n">
        <f aca="false">IF($A222&gt;Endyr,0,Tariff_Cap)</f>
        <v>0.3351</v>
      </c>
      <c r="F222" s="1186" t="n">
        <f aca="false">D222*E222/1000</f>
        <v>1035.35847</v>
      </c>
      <c r="G222" s="1187" t="n">
        <f aca="false">[4]MMBTU!R245</f>
        <v>2025354.24</v>
      </c>
      <c r="H222" s="1185" t="n">
        <f aca="false">IF($A222&gt;Endyr,0,Tariff_Var)</f>
        <v>0.005</v>
      </c>
      <c r="I222" s="1186" t="n">
        <f aca="false">G222*H222/1000</f>
        <v>10.1267712</v>
      </c>
      <c r="J222" s="1188" t="n">
        <f aca="false">SUM(F222,I222)</f>
        <v>1045.4852412</v>
      </c>
      <c r="K222" s="1189" t="n">
        <f aca="false">VLOOKUP($A222,Curves_Table,Escalation!$P$291)</f>
        <v>1.72801332733687</v>
      </c>
      <c r="L222" s="1190" t="n">
        <f aca="false">J222*K222</f>
        <v>1806.6124303276</v>
      </c>
      <c r="M222" s="1191" t="str">
        <f aca="false">IF(MONTH($A222)=12,SUM(L211:L222)," ")</f>
        <v> </v>
      </c>
    </row>
    <row r="223" customFormat="false" ht="12.75" hidden="false" customHeight="false" outlineLevel="0" collapsed="false">
      <c r="A223" s="1182" t="n">
        <f aca="false">EDATE(A222,1)</f>
        <v>43374</v>
      </c>
      <c r="C223" s="1183" t="n">
        <f aca="false">A224-A223</f>
        <v>31</v>
      </c>
      <c r="D223" s="1184" t="n">
        <f aca="false">IF($A223&gt;Endyr,0,IF($A223&lt;Assm!$F$32,G223,Capacity*C223))</f>
        <v>3192690</v>
      </c>
      <c r="E223" s="1185" t="n">
        <f aca="false">IF($A223&gt;Endyr,0,Tariff_Cap)</f>
        <v>0.3351</v>
      </c>
      <c r="F223" s="1186" t="n">
        <f aca="false">D223*E223/1000</f>
        <v>1069.870419</v>
      </c>
      <c r="G223" s="1187" t="n">
        <f aca="false">[4]MMBTU!R246</f>
        <v>2092866.048</v>
      </c>
      <c r="H223" s="1185" t="n">
        <f aca="false">IF($A223&gt;Endyr,0,Tariff_Var)</f>
        <v>0.005</v>
      </c>
      <c r="I223" s="1186" t="n">
        <f aca="false">G223*H223/1000</f>
        <v>10.46433024</v>
      </c>
      <c r="J223" s="1188" t="n">
        <f aca="false">SUM(F223,I223)</f>
        <v>1080.33474924</v>
      </c>
      <c r="K223" s="1189" t="n">
        <f aca="false">VLOOKUP($A223,Curves_Table,Escalation!$P$291)</f>
        <v>1.72801332733687</v>
      </c>
      <c r="L223" s="1190" t="n">
        <f aca="false">J223*K223</f>
        <v>1866.83284467185</v>
      </c>
      <c r="M223" s="1191" t="str">
        <f aca="false">IF(MONTH($A223)=12,SUM(L212:L223)," ")</f>
        <v> </v>
      </c>
    </row>
    <row r="224" customFormat="false" ht="12.75" hidden="false" customHeight="false" outlineLevel="0" collapsed="false">
      <c r="A224" s="1182" t="n">
        <f aca="false">EDATE(A223,1)</f>
        <v>43405</v>
      </c>
      <c r="C224" s="1183" t="n">
        <f aca="false">A225-A224</f>
        <v>30</v>
      </c>
      <c r="D224" s="1184" t="n">
        <f aca="false">IF($A224&gt;Endyr,0,IF($A224&lt;Assm!$F$32,G224,Capacity*C224))</f>
        <v>3089700</v>
      </c>
      <c r="E224" s="1185" t="n">
        <f aca="false">IF($A224&gt;Endyr,0,Tariff_Cap)</f>
        <v>0.3351</v>
      </c>
      <c r="F224" s="1186" t="n">
        <f aca="false">D224*E224/1000</f>
        <v>1035.35847</v>
      </c>
      <c r="G224" s="1187" t="n">
        <f aca="false">[4]MMBTU!R247</f>
        <v>2025354.24</v>
      </c>
      <c r="H224" s="1185" t="n">
        <f aca="false">IF($A224&gt;Endyr,0,Tariff_Var)</f>
        <v>0.005</v>
      </c>
      <c r="I224" s="1186" t="n">
        <f aca="false">G224*H224/1000</f>
        <v>10.1267712</v>
      </c>
      <c r="J224" s="1188" t="n">
        <f aca="false">SUM(F224,I224)</f>
        <v>1045.4852412</v>
      </c>
      <c r="K224" s="1189" t="n">
        <f aca="false">VLOOKUP($A224,Curves_Table,Escalation!$P$291)</f>
        <v>1.72801332733687</v>
      </c>
      <c r="L224" s="1190" t="n">
        <f aca="false">J224*K224</f>
        <v>1806.6124303276</v>
      </c>
      <c r="M224" s="1191" t="str">
        <f aca="false">IF(MONTH($A224)=12,SUM(L213:L224)," ")</f>
        <v> </v>
      </c>
    </row>
    <row r="225" customFormat="false" ht="12.75" hidden="false" customHeight="false" outlineLevel="0" collapsed="false">
      <c r="A225" s="1182" t="n">
        <f aca="false">EDATE(A224,1)</f>
        <v>43435</v>
      </c>
      <c r="C225" s="1183" t="n">
        <f aca="false">A226-A225</f>
        <v>31</v>
      </c>
      <c r="D225" s="1184" t="n">
        <f aca="false">IF($A225&gt;Endyr,0,IF($A225&lt;Assm!$F$32,G225,Capacity*C225))</f>
        <v>3192690</v>
      </c>
      <c r="E225" s="1185" t="n">
        <f aca="false">IF($A225&gt;Endyr,0,Tariff_Cap)</f>
        <v>0.3351</v>
      </c>
      <c r="F225" s="1186" t="n">
        <f aca="false">D225*E225/1000</f>
        <v>1069.870419</v>
      </c>
      <c r="G225" s="1187" t="n">
        <f aca="false">[4]MMBTU!R248</f>
        <v>2092866.048</v>
      </c>
      <c r="H225" s="1185" t="n">
        <f aca="false">IF($A225&gt;Endyr,0,Tariff_Var)</f>
        <v>0.005</v>
      </c>
      <c r="I225" s="1186" t="n">
        <f aca="false">G225*H225/1000</f>
        <v>10.46433024</v>
      </c>
      <c r="J225" s="1188" t="n">
        <f aca="false">SUM(F225,I225)</f>
        <v>1080.33474924</v>
      </c>
      <c r="K225" s="1189" t="n">
        <f aca="false">VLOOKUP($A225,Curves_Table,Escalation!$P$291)</f>
        <v>1.72801332733687</v>
      </c>
      <c r="L225" s="1190" t="n">
        <f aca="false">J225*K225</f>
        <v>1866.83284467185</v>
      </c>
      <c r="M225" s="1191" t="n">
        <f aca="false">IF(MONTH($A225)=12,SUM(L214:L225)," ")</f>
        <v>21790.3124789758</v>
      </c>
    </row>
    <row r="226" customFormat="false" ht="12.75" hidden="false" customHeight="false" outlineLevel="0" collapsed="false">
      <c r="A226" s="1182" t="n">
        <f aca="false">EDATE(A225,1)</f>
        <v>43466</v>
      </c>
      <c r="C226" s="1183" t="n">
        <f aca="false">A227-A226</f>
        <v>31</v>
      </c>
      <c r="D226" s="1184" t="n">
        <f aca="false">IF($A226&gt;Endyr,0,IF($A226&lt;Assm!$F$32,G226,Capacity*C226))</f>
        <v>3192690</v>
      </c>
      <c r="E226" s="1185" t="n">
        <f aca="false">IF($A226&gt;Endyr,0,Tariff_Cap)</f>
        <v>0.3351</v>
      </c>
      <c r="F226" s="1186" t="n">
        <f aca="false">D226*E226/1000</f>
        <v>1069.870419</v>
      </c>
      <c r="G226" s="1187" t="n">
        <f aca="false">[4]MMBTU!R249</f>
        <v>2092866.048</v>
      </c>
      <c r="H226" s="1185" t="n">
        <f aca="false">IF($A226&gt;Endyr,0,Tariff_Var)</f>
        <v>0.005</v>
      </c>
      <c r="I226" s="1186" t="n">
        <f aca="false">G226*H226/1000</f>
        <v>10.46433024</v>
      </c>
      <c r="J226" s="1188" t="n">
        <f aca="false">SUM(F226,I226)</f>
        <v>1080.33474924</v>
      </c>
      <c r="K226" s="1189" t="n">
        <f aca="false">VLOOKUP($A226,Curves_Table,Escalation!$P$291)</f>
        <v>1.72801332733687</v>
      </c>
      <c r="L226" s="1190" t="n">
        <f aca="false">J226*K226</f>
        <v>1866.83284467185</v>
      </c>
      <c r="M226" s="1191" t="str">
        <f aca="false">IF(MONTH($A226)=12,SUM(L215:L226)," ")</f>
        <v> </v>
      </c>
    </row>
    <row r="227" customFormat="false" ht="12.75" hidden="false" customHeight="false" outlineLevel="0" collapsed="false">
      <c r="A227" s="1182" t="n">
        <f aca="false">EDATE(A226,1)</f>
        <v>43497</v>
      </c>
      <c r="C227" s="1183" t="n">
        <f aca="false">A228-A227</f>
        <v>28</v>
      </c>
      <c r="D227" s="1184" t="n">
        <f aca="false">IF($A227&gt;Endyr,0,IF($A227&lt;Assm!$F$32,G227,Capacity*C227))</f>
        <v>2883720</v>
      </c>
      <c r="E227" s="1185" t="n">
        <f aca="false">IF($A227&gt;Endyr,0,Tariff_Cap)</f>
        <v>0.3351</v>
      </c>
      <c r="F227" s="1186" t="n">
        <f aca="false">D227*E227/1000</f>
        <v>966.334572</v>
      </c>
      <c r="G227" s="1187" t="n">
        <f aca="false">[4]MMBTU!R250</f>
        <v>1890330.624</v>
      </c>
      <c r="H227" s="1185" t="n">
        <f aca="false">IF($A227&gt;Endyr,0,Tariff_Var)</f>
        <v>0.005</v>
      </c>
      <c r="I227" s="1186" t="n">
        <f aca="false">G227*H227/1000</f>
        <v>9.45165312</v>
      </c>
      <c r="J227" s="1188" t="n">
        <f aca="false">SUM(F227,I227)</f>
        <v>975.78622512</v>
      </c>
      <c r="K227" s="1189" t="n">
        <f aca="false">VLOOKUP($A227,Curves_Table,Escalation!$P$291)</f>
        <v>1.72801332733687</v>
      </c>
      <c r="L227" s="1190" t="n">
        <f aca="false">J227*K227</f>
        <v>1686.17160163909</v>
      </c>
      <c r="M227" s="1191" t="str">
        <f aca="false">IF(MONTH($A227)=12,SUM(L216:L227)," ")</f>
        <v> </v>
      </c>
    </row>
    <row r="228" customFormat="false" ht="12.75" hidden="false" customHeight="false" outlineLevel="0" collapsed="false">
      <c r="A228" s="1182" t="n">
        <f aca="false">EDATE(A227,1)</f>
        <v>43525</v>
      </c>
      <c r="C228" s="1183" t="n">
        <f aca="false">A229-A228</f>
        <v>31</v>
      </c>
      <c r="D228" s="1184" t="n">
        <f aca="false">IF($A228&gt;Endyr,0,IF($A228&lt;Assm!$F$32,G228,Capacity*C228))</f>
        <v>3192690</v>
      </c>
      <c r="E228" s="1185" t="n">
        <f aca="false">IF($A228&gt;Endyr,0,Tariff_Cap)</f>
        <v>0.3351</v>
      </c>
      <c r="F228" s="1186" t="n">
        <f aca="false">D228*E228/1000</f>
        <v>1069.870419</v>
      </c>
      <c r="G228" s="1187" t="n">
        <f aca="false">[4]MMBTU!R251</f>
        <v>2092866.048</v>
      </c>
      <c r="H228" s="1185" t="n">
        <f aca="false">IF($A228&gt;Endyr,0,Tariff_Var)</f>
        <v>0.005</v>
      </c>
      <c r="I228" s="1186" t="n">
        <f aca="false">G228*H228/1000</f>
        <v>10.46433024</v>
      </c>
      <c r="J228" s="1188" t="n">
        <f aca="false">SUM(F228,I228)</f>
        <v>1080.33474924</v>
      </c>
      <c r="K228" s="1189" t="n">
        <f aca="false">VLOOKUP($A228,Curves_Table,Escalation!$P$291)</f>
        <v>1.72801332733687</v>
      </c>
      <c r="L228" s="1190" t="n">
        <f aca="false">J228*K228</f>
        <v>1866.83284467185</v>
      </c>
      <c r="M228" s="1191" t="str">
        <f aca="false">IF(MONTH($A228)=12,SUM(L217:L228)," ")</f>
        <v> </v>
      </c>
    </row>
    <row r="229" customFormat="false" ht="12.75" hidden="false" customHeight="false" outlineLevel="0" collapsed="false">
      <c r="A229" s="1182" t="n">
        <f aca="false">EDATE(A228,1)</f>
        <v>43556</v>
      </c>
      <c r="C229" s="1183" t="n">
        <f aca="false">A230-A229</f>
        <v>30</v>
      </c>
      <c r="D229" s="1184" t="n">
        <f aca="false">IF($A229&gt;Endyr,0,IF($A229&lt;Assm!$F$32,G229,Capacity*C229))</f>
        <v>3089700</v>
      </c>
      <c r="E229" s="1185" t="n">
        <f aca="false">IF($A229&gt;Endyr,0,Tariff_Cap)</f>
        <v>0.3351</v>
      </c>
      <c r="F229" s="1186" t="n">
        <f aca="false">D229*E229/1000</f>
        <v>1035.35847</v>
      </c>
      <c r="G229" s="1187" t="n">
        <f aca="false">[4]MMBTU!R252</f>
        <v>2025354.24</v>
      </c>
      <c r="H229" s="1185" t="n">
        <f aca="false">IF($A229&gt;Endyr,0,Tariff_Var)</f>
        <v>0.005</v>
      </c>
      <c r="I229" s="1186" t="n">
        <f aca="false">G229*H229/1000</f>
        <v>10.1267712</v>
      </c>
      <c r="J229" s="1188" t="n">
        <f aca="false">SUM(F229,I229)</f>
        <v>1045.4852412</v>
      </c>
      <c r="K229" s="1189" t="n">
        <f aca="false">VLOOKUP($A229,Curves_Table,Escalation!$P$291)</f>
        <v>1.72801332733687</v>
      </c>
      <c r="L229" s="1190" t="n">
        <f aca="false">J229*K229</f>
        <v>1806.6124303276</v>
      </c>
      <c r="M229" s="1191" t="str">
        <f aca="false">IF(MONTH($A229)=12,SUM(L218:L229)," ")</f>
        <v> </v>
      </c>
    </row>
    <row r="230" customFormat="false" ht="12.75" hidden="false" customHeight="false" outlineLevel="0" collapsed="false">
      <c r="A230" s="1182" t="n">
        <f aca="false">EDATE(A229,1)</f>
        <v>43586</v>
      </c>
      <c r="C230" s="1183" t="n">
        <f aca="false">A231-A230</f>
        <v>31</v>
      </c>
      <c r="D230" s="1184" t="n">
        <f aca="false">IF($A230&gt;Endyr,0,IF($A230&lt;Assm!$F$32,G230,Capacity*C230))</f>
        <v>0</v>
      </c>
      <c r="E230" s="1185" t="n">
        <f aca="false">IF($A230&gt;Endyr,0,Tariff_Cap)</f>
        <v>0</v>
      </c>
      <c r="F230" s="1186" t="n">
        <f aca="false">D230*E230/1000</f>
        <v>0</v>
      </c>
      <c r="G230" s="1187" t="n">
        <f aca="false">[4]MMBTU!R253</f>
        <v>0</v>
      </c>
      <c r="H230" s="1185" t="n">
        <f aca="false">IF($A230&gt;Endyr,0,Tariff_Var)</f>
        <v>0</v>
      </c>
      <c r="I230" s="1186" t="n">
        <f aca="false">G230*H230/1000</f>
        <v>0</v>
      </c>
      <c r="J230" s="1188" t="n">
        <f aca="false">SUM(F230,I230)</f>
        <v>0</v>
      </c>
      <c r="K230" s="1189" t="n">
        <f aca="false">VLOOKUP($A230,Curves_Table,Escalation!$P$291)</f>
        <v>1.77543572910631</v>
      </c>
      <c r="L230" s="1190" t="n">
        <f aca="false">J230*K230</f>
        <v>0</v>
      </c>
      <c r="M230" s="1191" t="str">
        <f aca="false">IF(MONTH($A230)=12,SUM(L219:L230)," ")</f>
        <v> </v>
      </c>
    </row>
    <row r="231" customFormat="false" ht="12.75" hidden="false" customHeight="false" outlineLevel="0" collapsed="false">
      <c r="A231" s="1182" t="n">
        <f aca="false">EDATE(A230,1)</f>
        <v>43617</v>
      </c>
      <c r="C231" s="1183" t="n">
        <f aca="false">A232-A231</f>
        <v>30</v>
      </c>
      <c r="D231" s="1184" t="n">
        <f aca="false">IF($A231&gt;Endyr,0,IF($A231&lt;Assm!$F$32,G231,Capacity*C231))</f>
        <v>0</v>
      </c>
      <c r="E231" s="1185" t="n">
        <f aca="false">IF($A231&gt;Endyr,0,Tariff_Cap)</f>
        <v>0</v>
      </c>
      <c r="F231" s="1186" t="n">
        <f aca="false">D231*E231/1000</f>
        <v>0</v>
      </c>
      <c r="G231" s="1187" t="n">
        <f aca="false">[4]MMBTU!R254</f>
        <v>0</v>
      </c>
      <c r="H231" s="1185" t="n">
        <f aca="false">IF($A231&gt;Endyr,0,Tariff_Var)</f>
        <v>0</v>
      </c>
      <c r="I231" s="1186" t="n">
        <f aca="false">G231*H231/1000</f>
        <v>0</v>
      </c>
      <c r="J231" s="1188" t="n">
        <f aca="false">SUM(F231,I231)</f>
        <v>0</v>
      </c>
      <c r="K231" s="1189" t="n">
        <f aca="false">VLOOKUP($A231,Curves_Table,Escalation!$P$291)</f>
        <v>1.77543572910631</v>
      </c>
      <c r="L231" s="1190" t="n">
        <f aca="false">J231*K231</f>
        <v>0</v>
      </c>
      <c r="M231" s="1191" t="str">
        <f aca="false">IF(MONTH($A231)=12,SUM(L220:L231)," ")</f>
        <v> </v>
      </c>
    </row>
    <row r="232" customFormat="false" ht="12.75" hidden="false" customHeight="false" outlineLevel="0" collapsed="false">
      <c r="A232" s="1182" t="n">
        <f aca="false">EDATE(A231,1)</f>
        <v>43647</v>
      </c>
      <c r="C232" s="1183" t="n">
        <f aca="false">A233-A232</f>
        <v>31</v>
      </c>
      <c r="D232" s="1184" t="n">
        <f aca="false">IF($A232&gt;Endyr,0,IF($A232&lt;Assm!$F$32,G232,Capacity*C232))</f>
        <v>0</v>
      </c>
      <c r="E232" s="1185" t="n">
        <f aca="false">IF($A232&gt;Endyr,0,Tariff_Cap)</f>
        <v>0</v>
      </c>
      <c r="F232" s="1186" t="n">
        <f aca="false">D232*E232/1000</f>
        <v>0</v>
      </c>
      <c r="G232" s="1187" t="n">
        <f aca="false">[4]MMBTU!R255</f>
        <v>0</v>
      </c>
      <c r="H232" s="1185" t="n">
        <f aca="false">IF($A232&gt;Endyr,0,Tariff_Var)</f>
        <v>0</v>
      </c>
      <c r="I232" s="1186" t="n">
        <f aca="false">G232*H232/1000</f>
        <v>0</v>
      </c>
      <c r="J232" s="1188" t="n">
        <f aca="false">SUM(F232,I232)</f>
        <v>0</v>
      </c>
      <c r="K232" s="1189" t="n">
        <f aca="false">VLOOKUP($A232,Curves_Table,Escalation!$P$291)</f>
        <v>1.77543572910631</v>
      </c>
      <c r="L232" s="1190" t="n">
        <f aca="false">J232*K232</f>
        <v>0</v>
      </c>
      <c r="M232" s="1191" t="str">
        <f aca="false">IF(MONTH($A232)=12,SUM(L221:L232)," ")</f>
        <v> </v>
      </c>
    </row>
    <row r="233" customFormat="false" ht="12.75" hidden="false" customHeight="false" outlineLevel="0" collapsed="false">
      <c r="A233" s="1182" t="n">
        <f aca="false">EDATE(A232,1)</f>
        <v>43678</v>
      </c>
      <c r="C233" s="1183" t="n">
        <f aca="false">A234-A233</f>
        <v>31</v>
      </c>
      <c r="D233" s="1184" t="n">
        <f aca="false">IF($A233&gt;Endyr,0,IF($A233&lt;Assm!$F$32,G233,Capacity*C233))</f>
        <v>0</v>
      </c>
      <c r="E233" s="1185" t="n">
        <f aca="false">IF($A233&gt;Endyr,0,Tariff_Cap)</f>
        <v>0</v>
      </c>
      <c r="F233" s="1186" t="n">
        <f aca="false">D233*E233/1000</f>
        <v>0</v>
      </c>
      <c r="G233" s="1187" t="n">
        <f aca="false">[4]MMBTU!R256</f>
        <v>0</v>
      </c>
      <c r="H233" s="1185" t="n">
        <f aca="false">IF($A233&gt;Endyr,0,Tariff_Var)</f>
        <v>0</v>
      </c>
      <c r="I233" s="1186" t="n">
        <f aca="false">G233*H233/1000</f>
        <v>0</v>
      </c>
      <c r="J233" s="1188" t="n">
        <f aca="false">SUM(F233,I233)</f>
        <v>0</v>
      </c>
      <c r="K233" s="1189" t="n">
        <f aca="false">VLOOKUP($A233,Curves_Table,Escalation!$P$291)</f>
        <v>1.77543572910631</v>
      </c>
      <c r="L233" s="1190" t="n">
        <f aca="false">J233*K233</f>
        <v>0</v>
      </c>
      <c r="M233" s="1191" t="str">
        <f aca="false">IF(MONTH($A233)=12,SUM(L222:L233)," ")</f>
        <v> </v>
      </c>
    </row>
    <row r="234" customFormat="false" ht="12.75" hidden="false" customHeight="false" outlineLevel="0" collapsed="false">
      <c r="A234" s="1182" t="n">
        <f aca="false">EDATE(A233,1)</f>
        <v>43709</v>
      </c>
      <c r="C234" s="1183" t="n">
        <f aca="false">A235-A234</f>
        <v>30</v>
      </c>
      <c r="D234" s="1184" t="n">
        <f aca="false">IF($A234&gt;Endyr,0,IF($A234&lt;Assm!$F$32,G234,Capacity*C234))</f>
        <v>0</v>
      </c>
      <c r="E234" s="1185" t="n">
        <f aca="false">IF($A234&gt;Endyr,0,Tariff_Cap)</f>
        <v>0</v>
      </c>
      <c r="F234" s="1186" t="n">
        <f aca="false">D234*E234/1000</f>
        <v>0</v>
      </c>
      <c r="G234" s="1187" t="n">
        <f aca="false">[4]MMBTU!R257</f>
        <v>0</v>
      </c>
      <c r="H234" s="1185" t="n">
        <f aca="false">IF($A234&gt;Endyr,0,Tariff_Var)</f>
        <v>0</v>
      </c>
      <c r="I234" s="1186" t="n">
        <f aca="false">G234*H234/1000</f>
        <v>0</v>
      </c>
      <c r="J234" s="1188" t="n">
        <f aca="false">SUM(F234,I234)</f>
        <v>0</v>
      </c>
      <c r="K234" s="1189" t="n">
        <f aca="false">VLOOKUP($A234,Curves_Table,Escalation!$P$291)</f>
        <v>1.77543572910631</v>
      </c>
      <c r="L234" s="1190" t="n">
        <f aca="false">J234*K234</f>
        <v>0</v>
      </c>
      <c r="M234" s="1191" t="str">
        <f aca="false">IF(MONTH($A234)=12,SUM(L223:L234)," ")</f>
        <v> </v>
      </c>
    </row>
    <row r="235" customFormat="false" ht="12.75" hidden="false" customHeight="false" outlineLevel="0" collapsed="false">
      <c r="A235" s="1182" t="n">
        <f aca="false">EDATE(A234,1)</f>
        <v>43739</v>
      </c>
      <c r="C235" s="1183" t="n">
        <f aca="false">A236-A235</f>
        <v>31</v>
      </c>
      <c r="D235" s="1184" t="n">
        <f aca="false">IF($A235&gt;Endyr,0,IF($A235&lt;Assm!$F$32,G235,Capacity*C235))</f>
        <v>0</v>
      </c>
      <c r="E235" s="1185" t="n">
        <f aca="false">IF($A235&gt;Endyr,0,Tariff_Cap)</f>
        <v>0</v>
      </c>
      <c r="F235" s="1186" t="n">
        <f aca="false">D235*E235/1000</f>
        <v>0</v>
      </c>
      <c r="G235" s="1187" t="n">
        <f aca="false">[4]MMBTU!R258</f>
        <v>0</v>
      </c>
      <c r="H235" s="1185" t="n">
        <f aca="false">IF($A235&gt;Endyr,0,Tariff_Var)</f>
        <v>0</v>
      </c>
      <c r="I235" s="1186" t="n">
        <f aca="false">G235*H235/1000</f>
        <v>0</v>
      </c>
      <c r="J235" s="1188" t="n">
        <f aca="false">SUM(F235,I235)</f>
        <v>0</v>
      </c>
      <c r="K235" s="1189" t="n">
        <f aca="false">VLOOKUP($A235,Curves_Table,Escalation!$P$291)</f>
        <v>1.77543572910631</v>
      </c>
      <c r="L235" s="1190" t="n">
        <f aca="false">J235*K235</f>
        <v>0</v>
      </c>
      <c r="M235" s="1191" t="str">
        <f aca="false">IF(MONTH($A235)=12,SUM(L224:L235)," ")</f>
        <v> </v>
      </c>
    </row>
    <row r="236" customFormat="false" ht="12.75" hidden="false" customHeight="false" outlineLevel="0" collapsed="false">
      <c r="A236" s="1182" t="n">
        <f aca="false">EDATE(A235,1)</f>
        <v>43770</v>
      </c>
      <c r="C236" s="1183" t="n">
        <f aca="false">A237-A236</f>
        <v>30</v>
      </c>
      <c r="D236" s="1184" t="n">
        <f aca="false">IF($A236&gt;Endyr,0,IF($A236&lt;Assm!$F$32,G236,Capacity*C236))</f>
        <v>0</v>
      </c>
      <c r="E236" s="1185" t="n">
        <f aca="false">IF($A236&gt;Endyr,0,Tariff_Cap)</f>
        <v>0</v>
      </c>
      <c r="F236" s="1186" t="n">
        <f aca="false">D236*E236/1000</f>
        <v>0</v>
      </c>
      <c r="G236" s="1187" t="n">
        <f aca="false">[4]MMBTU!R259</f>
        <v>0</v>
      </c>
      <c r="H236" s="1185" t="n">
        <f aca="false">IF($A236&gt;Endyr,0,Tariff_Var)</f>
        <v>0</v>
      </c>
      <c r="I236" s="1186" t="n">
        <f aca="false">G236*H236/1000</f>
        <v>0</v>
      </c>
      <c r="J236" s="1188" t="n">
        <f aca="false">SUM(F236,I236)</f>
        <v>0</v>
      </c>
      <c r="K236" s="1189" t="n">
        <f aca="false">VLOOKUP($A236,Curves_Table,Escalation!$P$291)</f>
        <v>1.77543572910631</v>
      </c>
      <c r="L236" s="1190" t="n">
        <f aca="false">J236*K236</f>
        <v>0</v>
      </c>
      <c r="M236" s="1191" t="str">
        <f aca="false">IF(MONTH($A236)=12,SUM(L225:L236)," ")</f>
        <v> </v>
      </c>
    </row>
    <row r="237" customFormat="false" ht="12.75" hidden="false" customHeight="false" outlineLevel="0" collapsed="false">
      <c r="A237" s="1182" t="n">
        <f aca="false">EDATE(A236,1)</f>
        <v>43800</v>
      </c>
      <c r="C237" s="1183" t="n">
        <f aca="false">A238-A237</f>
        <v>31</v>
      </c>
      <c r="D237" s="1184" t="n">
        <f aca="false">IF($A237&gt;Endyr,0,IF($A237&lt;Assm!$F$32,G237,Capacity*C237))</f>
        <v>0</v>
      </c>
      <c r="E237" s="1185" t="n">
        <f aca="false">IF($A237&gt;Endyr,0,Tariff_Cap)</f>
        <v>0</v>
      </c>
      <c r="F237" s="1186" t="n">
        <f aca="false">D237*E237/1000</f>
        <v>0</v>
      </c>
      <c r="G237" s="1187" t="n">
        <f aca="false">[4]MMBTU!R260</f>
        <v>0</v>
      </c>
      <c r="H237" s="1185" t="n">
        <f aca="false">IF($A237&gt;Endyr,0,Tariff_Var)</f>
        <v>0</v>
      </c>
      <c r="I237" s="1186" t="n">
        <f aca="false">G237*H237/1000</f>
        <v>0</v>
      </c>
      <c r="J237" s="1188" t="n">
        <f aca="false">SUM(F237,I237)</f>
        <v>0</v>
      </c>
      <c r="K237" s="1189" t="n">
        <f aca="false">VLOOKUP($A237,Curves_Table,Escalation!$P$291)</f>
        <v>1.77543572910631</v>
      </c>
      <c r="L237" s="1190" t="n">
        <f aca="false">J237*K237</f>
        <v>0</v>
      </c>
      <c r="M237" s="1191" t="n">
        <f aca="false">IF(MONTH($A237)=12,SUM(L226:L237)," ")</f>
        <v>7226.4497213104</v>
      </c>
    </row>
    <row r="238" customFormat="false" ht="12.75" hidden="false" customHeight="false" outlineLevel="0" collapsed="false">
      <c r="A238" s="1182" t="n">
        <f aca="false">EDATE(A237,1)</f>
        <v>43831</v>
      </c>
      <c r="C238" s="1183" t="n">
        <f aca="false">A239-A238</f>
        <v>31</v>
      </c>
      <c r="D238" s="1184" t="n">
        <f aca="false">IF($A238&gt;Endyr,0,IF($A238&lt;Assm!$F$32,G238,Capacity*C238))</f>
        <v>0</v>
      </c>
      <c r="E238" s="1185" t="n">
        <f aca="false">IF($A238&gt;Endyr,0,Tariff_Cap)</f>
        <v>0</v>
      </c>
      <c r="F238" s="1186" t="n">
        <f aca="false">D238*E238/1000</f>
        <v>0</v>
      </c>
      <c r="G238" s="1187" t="n">
        <f aca="false">[4]MMBTU!R261</f>
        <v>0</v>
      </c>
      <c r="H238" s="1185" t="n">
        <f aca="false">IF($A238&gt;Endyr,0,Tariff_Var)</f>
        <v>0</v>
      </c>
      <c r="I238" s="1186" t="n">
        <f aca="false">G238*H238/1000</f>
        <v>0</v>
      </c>
      <c r="J238" s="1188" t="n">
        <f aca="false">SUM(F238,I238)</f>
        <v>0</v>
      </c>
      <c r="K238" s="1189" t="n">
        <f aca="false">VLOOKUP($A238,Curves_Table,Escalation!$P$291)</f>
        <v>1.77543572910631</v>
      </c>
      <c r="L238" s="1190" t="n">
        <f aca="false">J238*K238</f>
        <v>0</v>
      </c>
      <c r="M238" s="1191" t="str">
        <f aca="false">IF(MONTH($A238)=12,SUM(L227:L238)," ")</f>
        <v> </v>
      </c>
    </row>
    <row r="239" customFormat="false" ht="12.75" hidden="false" customHeight="false" outlineLevel="0" collapsed="false">
      <c r="A239" s="1182" t="n">
        <f aca="false">EDATE(A238,1)</f>
        <v>43862</v>
      </c>
      <c r="C239" s="1183" t="n">
        <f aca="false">A240-A239</f>
        <v>29</v>
      </c>
      <c r="D239" s="1184" t="n">
        <f aca="false">IF($A239&gt;Endyr,0,IF($A239&lt;Assm!$F$32,G239,Capacity*C239))</f>
        <v>0</v>
      </c>
      <c r="E239" s="1185" t="n">
        <f aca="false">IF($A239&gt;Endyr,0,Tariff_Cap)</f>
        <v>0</v>
      </c>
      <c r="F239" s="1186" t="n">
        <f aca="false">D239*E239/1000</f>
        <v>0</v>
      </c>
      <c r="G239" s="1187" t="n">
        <f aca="false">[4]MMBTU!R262</f>
        <v>0</v>
      </c>
      <c r="H239" s="1185" t="n">
        <f aca="false">IF($A239&gt;Endyr,0,Tariff_Var)</f>
        <v>0</v>
      </c>
      <c r="I239" s="1186" t="n">
        <f aca="false">G239*H239/1000</f>
        <v>0</v>
      </c>
      <c r="J239" s="1188" t="n">
        <f aca="false">SUM(F239,I239)</f>
        <v>0</v>
      </c>
      <c r="K239" s="1189" t="n">
        <f aca="false">VLOOKUP($A239,Curves_Table,Escalation!$P$291)</f>
        <v>1.77543572910631</v>
      </c>
      <c r="L239" s="1190" t="n">
        <f aca="false">J239*K239</f>
        <v>0</v>
      </c>
      <c r="M239" s="1191" t="str">
        <f aca="false">IF(MONTH($A239)=12,SUM(L228:L239)," ")</f>
        <v> </v>
      </c>
    </row>
    <row r="240" customFormat="false" ht="12.75" hidden="false" customHeight="false" outlineLevel="0" collapsed="false">
      <c r="A240" s="1182" t="n">
        <f aca="false">EDATE(A239,1)</f>
        <v>43891</v>
      </c>
      <c r="C240" s="1183" t="n">
        <f aca="false">A241-A240</f>
        <v>31</v>
      </c>
      <c r="D240" s="1184" t="n">
        <f aca="false">IF($A240&gt;Endyr,0,IF($A240&lt;Assm!$F$32,G240,Capacity*C240))</f>
        <v>0</v>
      </c>
      <c r="E240" s="1185" t="n">
        <f aca="false">IF($A240&gt;Endyr,0,Tariff_Cap)</f>
        <v>0</v>
      </c>
      <c r="F240" s="1186" t="n">
        <f aca="false">D240*E240/1000</f>
        <v>0</v>
      </c>
      <c r="G240" s="1187" t="n">
        <f aca="false">[4]MMBTU!R263</f>
        <v>0</v>
      </c>
      <c r="H240" s="1185" t="n">
        <f aca="false">IF($A240&gt;Endyr,0,Tariff_Var)</f>
        <v>0</v>
      </c>
      <c r="I240" s="1186" t="n">
        <f aca="false">G240*H240/1000</f>
        <v>0</v>
      </c>
      <c r="J240" s="1188" t="n">
        <f aca="false">SUM(F240,I240)</f>
        <v>0</v>
      </c>
      <c r="K240" s="1189" t="n">
        <f aca="false">VLOOKUP($A240,Curves_Table,Escalation!$P$291)</f>
        <v>1.77543572910631</v>
      </c>
      <c r="L240" s="1190" t="n">
        <f aca="false">J240*K240</f>
        <v>0</v>
      </c>
      <c r="M240" s="1191" t="str">
        <f aca="false">IF(MONTH($A240)=12,SUM(L229:L240)," ")</f>
        <v> </v>
      </c>
    </row>
    <row r="241" customFormat="false" ht="12.75" hidden="false" customHeight="false" outlineLevel="0" collapsed="false">
      <c r="A241" s="1182" t="n">
        <f aca="false">EDATE(A240,1)</f>
        <v>43922</v>
      </c>
      <c r="C241" s="1183" t="n">
        <f aca="false">A242-A241</f>
        <v>30</v>
      </c>
      <c r="D241" s="1184" t="n">
        <f aca="false">IF($A241&gt;Endyr,0,IF($A241&lt;Assm!$F$32,G241,Capacity*C241))</f>
        <v>0</v>
      </c>
      <c r="E241" s="1185" t="n">
        <f aca="false">IF($A241&gt;Endyr,0,Tariff_Cap)</f>
        <v>0</v>
      </c>
      <c r="F241" s="1186" t="n">
        <f aca="false">D241*E241/1000</f>
        <v>0</v>
      </c>
      <c r="G241" s="1187" t="n">
        <f aca="false">[4]MMBTU!R264</f>
        <v>0</v>
      </c>
      <c r="H241" s="1185" t="n">
        <f aca="false">IF($A241&gt;Endyr,0,Tariff_Var)</f>
        <v>0</v>
      </c>
      <c r="I241" s="1186" t="n">
        <f aca="false">G241*H241/1000</f>
        <v>0</v>
      </c>
      <c r="J241" s="1188" t="n">
        <f aca="false">SUM(F241,I241)</f>
        <v>0</v>
      </c>
      <c r="K241" s="1189" t="n">
        <f aca="false">VLOOKUP($A241,Curves_Table,Escalation!$P$291)</f>
        <v>1.77543572910631</v>
      </c>
      <c r="L241" s="1190" t="n">
        <f aca="false">J241*K241</f>
        <v>0</v>
      </c>
      <c r="M241" s="1191" t="str">
        <f aca="false">IF(MONTH($A241)=12,SUM(L230:L241)," ")</f>
        <v> </v>
      </c>
    </row>
    <row r="242" customFormat="false" ht="12.75" hidden="false" customHeight="false" outlineLevel="0" collapsed="false">
      <c r="A242" s="1182" t="n">
        <f aca="false">EDATE(A241,1)</f>
        <v>43952</v>
      </c>
      <c r="C242" s="1183" t="n">
        <f aca="false">A243-A242</f>
        <v>31</v>
      </c>
      <c r="D242" s="1184" t="n">
        <f aca="false">IF($A242&gt;Endyr,0,IF($A242&lt;Assm!$F$32,G242,Capacity*C242))</f>
        <v>0</v>
      </c>
      <c r="E242" s="1185" t="n">
        <f aca="false">IF($A242&gt;Endyr,0,Tariff_Cap)</f>
        <v>0</v>
      </c>
      <c r="F242" s="1186" t="n">
        <f aca="false">D242*E242/1000</f>
        <v>0</v>
      </c>
      <c r="G242" s="1187" t="n">
        <f aca="false">[4]MMBTU!R265</f>
        <v>0</v>
      </c>
      <c r="H242" s="1185" t="n">
        <f aca="false">IF($A242&gt;Endyr,0,Tariff_Var)</f>
        <v>0</v>
      </c>
      <c r="I242" s="1186" t="n">
        <f aca="false">G242*H242/1000</f>
        <v>0</v>
      </c>
      <c r="J242" s="1188" t="n">
        <f aca="false">SUM(F242,I242)</f>
        <v>0</v>
      </c>
      <c r="K242" s="1189" t="n">
        <f aca="false">VLOOKUP($A242,Curves_Table,Escalation!$P$291)</f>
        <v>1.77543572910631</v>
      </c>
      <c r="L242" s="1190" t="n">
        <f aca="false">J242*K242</f>
        <v>0</v>
      </c>
      <c r="M242" s="1191" t="str">
        <f aca="false">IF(MONTH($A242)=12,SUM(L231:L242)," ")</f>
        <v> </v>
      </c>
    </row>
    <row r="243" customFormat="false" ht="12.75" hidden="false" customHeight="false" outlineLevel="0" collapsed="false">
      <c r="A243" s="1182" t="n">
        <f aca="false">EDATE(A242,1)</f>
        <v>43983</v>
      </c>
      <c r="C243" s="1183" t="n">
        <f aca="false">A244-A243</f>
        <v>30</v>
      </c>
      <c r="D243" s="1184" t="n">
        <f aca="false">IF($A243&gt;Endyr,0,IF($A243&lt;Assm!$F$32,G243,Capacity*C243))</f>
        <v>0</v>
      </c>
      <c r="E243" s="1185" t="n">
        <f aca="false">IF($A243&gt;Endyr,0,Tariff_Cap)</f>
        <v>0</v>
      </c>
      <c r="F243" s="1186" t="n">
        <f aca="false">D243*E243/1000</f>
        <v>0</v>
      </c>
      <c r="G243" s="1187" t="n">
        <f aca="false">[4]MMBTU!R266</f>
        <v>0</v>
      </c>
      <c r="H243" s="1185" t="n">
        <f aca="false">IF($A243&gt;Endyr,0,Tariff_Var)</f>
        <v>0</v>
      </c>
      <c r="I243" s="1186" t="n">
        <f aca="false">G243*H243/1000</f>
        <v>0</v>
      </c>
      <c r="J243" s="1188" t="n">
        <f aca="false">SUM(F243,I243)</f>
        <v>0</v>
      </c>
      <c r="K243" s="1189" t="n">
        <f aca="false">VLOOKUP($A243,Curves_Table,Escalation!$P$291)</f>
        <v>1.77543572910631</v>
      </c>
      <c r="L243" s="1190" t="n">
        <f aca="false">J243*K243</f>
        <v>0</v>
      </c>
      <c r="M243" s="1191" t="str">
        <f aca="false">IF(MONTH($A243)=12,SUM(L232:L243)," ")</f>
        <v> </v>
      </c>
    </row>
    <row r="244" customFormat="false" ht="12.75" hidden="false" customHeight="false" outlineLevel="0" collapsed="false">
      <c r="A244" s="1182" t="n">
        <f aca="false">EDATE(A243,1)</f>
        <v>44013</v>
      </c>
      <c r="C244" s="1183" t="n">
        <f aca="false">A245-A244</f>
        <v>31</v>
      </c>
      <c r="D244" s="1184" t="n">
        <f aca="false">IF($A244&gt;Endyr,0,IF($A244&lt;Assm!$F$32,G244,Capacity*C244))</f>
        <v>0</v>
      </c>
      <c r="E244" s="1185" t="n">
        <f aca="false">IF($A244&gt;Endyr,0,Tariff_Cap)</f>
        <v>0</v>
      </c>
      <c r="F244" s="1186" t="n">
        <f aca="false">D244*E244/1000</f>
        <v>0</v>
      </c>
      <c r="G244" s="1187" t="n">
        <f aca="false">[4]MMBTU!R267</f>
        <v>0</v>
      </c>
      <c r="H244" s="1185" t="n">
        <f aca="false">IF($A244&gt;Endyr,0,Tariff_Var)</f>
        <v>0</v>
      </c>
      <c r="I244" s="1186" t="n">
        <f aca="false">G244*H244/1000</f>
        <v>0</v>
      </c>
      <c r="J244" s="1188" t="n">
        <f aca="false">SUM(F244,I244)</f>
        <v>0</v>
      </c>
      <c r="K244" s="1189" t="n">
        <f aca="false">VLOOKUP($A244,Curves_Table,Escalation!$P$291)</f>
        <v>1.77543572910631</v>
      </c>
      <c r="L244" s="1190" t="n">
        <f aca="false">J244*K244</f>
        <v>0</v>
      </c>
      <c r="M244" s="1191" t="str">
        <f aca="false">IF(MONTH($A244)=12,SUM(L233:L244)," ")</f>
        <v> </v>
      </c>
    </row>
    <row r="245" customFormat="false" ht="12.75" hidden="false" customHeight="false" outlineLevel="0" collapsed="false">
      <c r="A245" s="1182" t="n">
        <f aca="false">EDATE(A244,1)</f>
        <v>44044</v>
      </c>
      <c r="C245" s="1183" t="n">
        <f aca="false">A246-A245</f>
        <v>31</v>
      </c>
      <c r="D245" s="1184" t="n">
        <f aca="false">IF($A245&gt;Endyr,0,IF($A245&lt;Assm!$F$32,G245,Capacity*C245))</f>
        <v>0</v>
      </c>
      <c r="E245" s="1185" t="n">
        <f aca="false">IF($A245&gt;Endyr,0,Tariff_Cap)</f>
        <v>0</v>
      </c>
      <c r="F245" s="1186" t="n">
        <f aca="false">D245*E245/1000</f>
        <v>0</v>
      </c>
      <c r="G245" s="1187" t="n">
        <f aca="false">[4]MMBTU!R268</f>
        <v>444643341.256</v>
      </c>
      <c r="H245" s="1185" t="n">
        <f aca="false">IF($A245&gt;Endyr,0,Tariff_Var)</f>
        <v>0</v>
      </c>
      <c r="I245" s="1186" t="n">
        <f aca="false">G245*H245/1000</f>
        <v>0</v>
      </c>
      <c r="J245" s="1188" t="n">
        <f aca="false">SUM(F245,I245)</f>
        <v>0</v>
      </c>
      <c r="K245" s="1189" t="n">
        <f aca="false">VLOOKUP($A245,Curves_Table,Escalation!$P$291)</f>
        <v>1.77543572910631</v>
      </c>
      <c r="L245" s="1190" t="n">
        <f aca="false">J245*K245</f>
        <v>0</v>
      </c>
      <c r="M245" s="1191" t="str">
        <f aca="false">IF(MONTH($A245)=12,SUM(L234:L245)," ")</f>
        <v> </v>
      </c>
    </row>
    <row r="246" customFormat="false" ht="13.5" hidden="false" customHeight="false" outlineLevel="0" collapsed="false">
      <c r="A246" s="1193" t="n">
        <f aca="false">EDATE(A245,1)</f>
        <v>44075</v>
      </c>
      <c r="C246" s="37"/>
      <c r="D246" s="39"/>
      <c r="E246" s="1152"/>
      <c r="F246" s="1194"/>
      <c r="G246" s="1195"/>
      <c r="H246" s="1152"/>
      <c r="I246" s="1178"/>
      <c r="J246" s="1180"/>
      <c r="L246" s="1152"/>
      <c r="M246" s="1181"/>
    </row>
    <row r="247" customFormat="false" ht="13.5" hidden="false" customHeight="false" outlineLevel="0" collapsed="false">
      <c r="A247" s="1196"/>
      <c r="C247" s="1197"/>
      <c r="D247" s="1198"/>
      <c r="E247" s="1198"/>
      <c r="F247" s="1198"/>
      <c r="G247" s="1198"/>
      <c r="H247" s="1198"/>
      <c r="I247" s="1198"/>
      <c r="J247" s="1198"/>
      <c r="K247" s="1198"/>
      <c r="L247" s="1199" t="s">
        <v>1117</v>
      </c>
      <c r="M247" s="1200" t="n">
        <f aca="false">SUM(M11:M245)</f>
        <v>319533.373335247</v>
      </c>
    </row>
    <row r="248" customFormat="false" ht="12.75" hidden="false" customHeight="false" outlineLevel="0" collapsed="false">
      <c r="D248" s="1151"/>
      <c r="G248" s="1151"/>
      <c r="K248" s="1151"/>
    </row>
    <row r="249" customFormat="false" ht="12.75" hidden="false" customHeight="false" outlineLevel="0" collapsed="false">
      <c r="A249" s="1201" t="n">
        <v>1</v>
      </c>
      <c r="B249" s="1201" t="n">
        <f aca="false">A249+1</f>
        <v>2</v>
      </c>
      <c r="C249" s="1201" t="n">
        <f aca="false">B249+1</f>
        <v>3</v>
      </c>
      <c r="D249" s="1201" t="n">
        <f aca="false">C249+1</f>
        <v>4</v>
      </c>
      <c r="E249" s="1201" t="n">
        <f aca="false">D249+1</f>
        <v>5</v>
      </c>
      <c r="F249" s="1201" t="n">
        <f aca="false">E249+1</f>
        <v>6</v>
      </c>
      <c r="G249" s="1201" t="n">
        <f aca="false">F249+1</f>
        <v>7</v>
      </c>
      <c r="H249" s="1201" t="n">
        <f aca="false">G249+1</f>
        <v>8</v>
      </c>
      <c r="I249" s="1201" t="n">
        <f aca="false">H249+1</f>
        <v>9</v>
      </c>
      <c r="J249" s="1201" t="n">
        <f aca="false">I249+1</f>
        <v>10</v>
      </c>
      <c r="K249" s="1201" t="n">
        <f aca="false">J249+1</f>
        <v>11</v>
      </c>
      <c r="L249" s="1201" t="n">
        <f aca="false">K249+1</f>
        <v>12</v>
      </c>
      <c r="M249" s="1201" t="n">
        <f aca="false">L249+1</f>
        <v>13</v>
      </c>
      <c r="N249" s="1" t="s">
        <v>1118</v>
      </c>
    </row>
    <row r="250" customFormat="false" ht="12.75" hidden="false" customHeight="false" outlineLevel="0" collapsed="false">
      <c r="D250" s="1151"/>
      <c r="G250" s="1151"/>
      <c r="K250" s="1151"/>
    </row>
    <row r="251" customFormat="false" ht="12.75" hidden="false" customHeight="false" outlineLevel="0" collapsed="false">
      <c r="D251" s="1151"/>
      <c r="G251" s="1151"/>
      <c r="K251" s="1151"/>
    </row>
    <row r="252" customFormat="false" ht="12.75" hidden="false" customHeight="false" outlineLevel="0" collapsed="false">
      <c r="D252" s="1151"/>
      <c r="G252" s="1151"/>
      <c r="K252" s="1151"/>
    </row>
    <row r="253" customFormat="false" ht="12.75" hidden="false" customHeight="false" outlineLevel="0" collapsed="false">
      <c r="D253" s="1151"/>
      <c r="G253" s="1151"/>
      <c r="K253" s="1151"/>
    </row>
    <row r="254" customFormat="false" ht="12.75" hidden="false" customHeight="false" outlineLevel="0" collapsed="false">
      <c r="D254" s="1151"/>
      <c r="G254" s="1151"/>
      <c r="K254" s="1151"/>
    </row>
    <row r="255" customFormat="false" ht="12.75" hidden="false" customHeight="false" outlineLevel="0" collapsed="false">
      <c r="D255" s="1151"/>
      <c r="G255" s="1151"/>
      <c r="K255" s="1151"/>
    </row>
    <row r="256" customFormat="false" ht="12.75" hidden="false" customHeight="false" outlineLevel="0" collapsed="false">
      <c r="D256" s="1151"/>
      <c r="G256" s="1151"/>
      <c r="K256" s="1151"/>
    </row>
    <row r="257" customFormat="false" ht="12.75" hidden="false" customHeight="false" outlineLevel="0" collapsed="false">
      <c r="D257" s="1151"/>
      <c r="G257" s="1151"/>
      <c r="K257" s="1151"/>
    </row>
    <row r="258" customFormat="false" ht="12.75" hidden="false" customHeight="false" outlineLevel="0" collapsed="false">
      <c r="D258" s="1151"/>
      <c r="G258" s="1151"/>
      <c r="K258" s="1151"/>
    </row>
    <row r="259" customFormat="false" ht="12.75" hidden="false" customHeight="false" outlineLevel="0" collapsed="false">
      <c r="D259" s="1151"/>
      <c r="G259" s="1151"/>
      <c r="K259" s="1151"/>
    </row>
    <row r="260" customFormat="false" ht="12.75" hidden="false" customHeight="false" outlineLevel="0" collapsed="false">
      <c r="D260" s="1151"/>
      <c r="G260" s="1151"/>
      <c r="K260" s="1151"/>
    </row>
    <row r="261" customFormat="false" ht="12.75" hidden="false" customHeight="false" outlineLevel="0" collapsed="false">
      <c r="D261" s="1151"/>
      <c r="G261" s="1151"/>
      <c r="K261" s="1151"/>
    </row>
    <row r="262" customFormat="false" ht="12.75" hidden="false" customHeight="false" outlineLevel="0" collapsed="false">
      <c r="D262" s="1151"/>
      <c r="G262" s="1151"/>
      <c r="K262" s="1151"/>
    </row>
    <row r="263" customFormat="false" ht="12.75" hidden="false" customHeight="false" outlineLevel="0" collapsed="false">
      <c r="D263" s="1151"/>
      <c r="G263" s="1151"/>
      <c r="K263" s="1151"/>
    </row>
    <row r="264" customFormat="false" ht="12.75" hidden="false" customHeight="false" outlineLevel="0" collapsed="false">
      <c r="D264" s="1151"/>
      <c r="G264" s="1151"/>
      <c r="K264" s="1151"/>
    </row>
    <row r="265" customFormat="false" ht="12.75" hidden="false" customHeight="false" outlineLevel="0" collapsed="false">
      <c r="D265" s="1151"/>
      <c r="G265" s="1151"/>
      <c r="K265" s="1151"/>
    </row>
    <row r="266" customFormat="false" ht="12.75" hidden="false" customHeight="false" outlineLevel="0" collapsed="false">
      <c r="D266" s="1151"/>
      <c r="G266" s="1151"/>
      <c r="K266" s="1151"/>
    </row>
    <row r="267" customFormat="false" ht="12.75" hidden="false" customHeight="false" outlineLevel="0" collapsed="false">
      <c r="D267" s="1151"/>
      <c r="G267" s="1151"/>
      <c r="K267" s="1151"/>
    </row>
    <row r="268" customFormat="false" ht="12.75" hidden="false" customHeight="false" outlineLevel="0" collapsed="false">
      <c r="D268" s="1151"/>
      <c r="G268" s="1151"/>
      <c r="K268" s="1151"/>
    </row>
    <row r="269" customFormat="false" ht="12.75" hidden="false" customHeight="false" outlineLevel="0" collapsed="false">
      <c r="D269" s="1151"/>
      <c r="G269" s="1151"/>
      <c r="K269" s="1151"/>
    </row>
    <row r="270" customFormat="false" ht="12.75" hidden="false" customHeight="false" outlineLevel="0" collapsed="false">
      <c r="D270" s="1151"/>
      <c r="G270" s="1151"/>
      <c r="K270" s="1151"/>
    </row>
    <row r="271" customFormat="false" ht="12.75" hidden="false" customHeight="false" outlineLevel="0" collapsed="false">
      <c r="D271" s="1151"/>
      <c r="G271" s="1151"/>
      <c r="K271" s="1151"/>
    </row>
    <row r="272" customFormat="false" ht="12.75" hidden="false" customHeight="false" outlineLevel="0" collapsed="false">
      <c r="D272" s="1151"/>
      <c r="G272" s="1151"/>
      <c r="K272" s="1151"/>
    </row>
    <row r="273" customFormat="false" ht="12.75" hidden="false" customHeight="false" outlineLevel="0" collapsed="false">
      <c r="D273" s="1151"/>
      <c r="G273" s="1151"/>
      <c r="K273" s="1151"/>
    </row>
    <row r="274" customFormat="false" ht="12.75" hidden="false" customHeight="false" outlineLevel="0" collapsed="false">
      <c r="D274" s="1151"/>
      <c r="G274" s="1151"/>
      <c r="K274" s="1151"/>
    </row>
    <row r="275" customFormat="false" ht="12.75" hidden="false" customHeight="false" outlineLevel="0" collapsed="false">
      <c r="D275" s="1151"/>
      <c r="G275" s="1151"/>
      <c r="K275" s="1151"/>
    </row>
    <row r="276" customFormat="false" ht="12.75" hidden="false" customHeight="false" outlineLevel="0" collapsed="false">
      <c r="D276" s="1151"/>
      <c r="G276" s="1151"/>
      <c r="K276" s="1151"/>
    </row>
    <row r="277" customFormat="false" ht="12.75" hidden="false" customHeight="false" outlineLevel="0" collapsed="false">
      <c r="D277" s="1151"/>
      <c r="G277" s="1151"/>
      <c r="K277" s="1151"/>
    </row>
    <row r="278" customFormat="false" ht="12.75" hidden="false" customHeight="false" outlineLevel="0" collapsed="false">
      <c r="D278" s="1151"/>
      <c r="G278" s="1151"/>
      <c r="K278" s="1151"/>
    </row>
    <row r="279" customFormat="false" ht="12.75" hidden="false" customHeight="false" outlineLevel="0" collapsed="false">
      <c r="D279" s="1151"/>
      <c r="G279" s="1151"/>
      <c r="K279" s="1151"/>
    </row>
    <row r="280" customFormat="false" ht="12.75" hidden="false" customHeight="false" outlineLevel="0" collapsed="false">
      <c r="D280" s="1151"/>
      <c r="G280" s="1151"/>
      <c r="K280" s="1151"/>
    </row>
    <row r="281" customFormat="false" ht="12.75" hidden="false" customHeight="false" outlineLevel="0" collapsed="false">
      <c r="D281" s="1151"/>
      <c r="G281" s="1151"/>
      <c r="K281" s="1151"/>
    </row>
    <row r="282" customFormat="false" ht="12.75" hidden="false" customHeight="false" outlineLevel="0" collapsed="false">
      <c r="D282" s="1151"/>
      <c r="G282" s="1151"/>
      <c r="K282" s="1151"/>
    </row>
    <row r="283" customFormat="false" ht="12.75" hidden="false" customHeight="false" outlineLevel="0" collapsed="false">
      <c r="D283" s="1151"/>
      <c r="G283" s="1151"/>
      <c r="K283" s="1151"/>
    </row>
    <row r="284" customFormat="false" ht="12.75" hidden="false" customHeight="false" outlineLevel="0" collapsed="false">
      <c r="D284" s="1151"/>
      <c r="G284" s="1151"/>
      <c r="K284" s="1151"/>
    </row>
    <row r="285" customFormat="false" ht="12.75" hidden="false" customHeight="false" outlineLevel="0" collapsed="false">
      <c r="D285" s="1151"/>
      <c r="G285" s="1151"/>
      <c r="K285" s="1151"/>
    </row>
    <row r="286" customFormat="false" ht="12.75" hidden="false" customHeight="false" outlineLevel="0" collapsed="false">
      <c r="D286" s="1151"/>
      <c r="G286" s="1151"/>
      <c r="K286" s="1151"/>
    </row>
    <row r="287" customFormat="false" ht="12.75" hidden="false" customHeight="false" outlineLevel="0" collapsed="false">
      <c r="D287" s="1151"/>
      <c r="G287" s="1151"/>
      <c r="K287" s="1151"/>
    </row>
    <row r="288" customFormat="false" ht="12.75" hidden="false" customHeight="false" outlineLevel="0" collapsed="false">
      <c r="D288" s="1151"/>
      <c r="G288" s="1151"/>
      <c r="K288" s="1151"/>
    </row>
    <row r="289" customFormat="false" ht="12.75" hidden="false" customHeight="false" outlineLevel="0" collapsed="false">
      <c r="D289" s="1151"/>
      <c r="G289" s="1151"/>
      <c r="K289" s="1151"/>
    </row>
  </sheetData>
  <mergeCells count="2">
    <mergeCell ref="H4:I4"/>
    <mergeCell ref="C6:M6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29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7" activeCellId="0" sqref="A1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0" min="1" style="1202" width="9.14"/>
    <col collapsed="false" customWidth="false" hidden="false" outlineLevel="0" max="12" min="11" style="1203" width="9.14"/>
    <col collapsed="false" customWidth="true" hidden="false" outlineLevel="0" max="13" min="13" style="1202" width="4.7"/>
    <col collapsed="false" customWidth="false" hidden="false" outlineLevel="0" max="257" min="14" style="1202" width="9.14"/>
  </cols>
  <sheetData>
    <row r="1" customFormat="false" ht="15.75" hidden="false" customHeight="false" outlineLevel="0" collapsed="false">
      <c r="A1" s="14" t="str">
        <f aca="false">Assm!A1</f>
        <v>GASOCIDENTE DO MATO GROSSO LTDA (GASMAT) *** DRAFT COPY ***</v>
      </c>
    </row>
    <row r="2" customFormat="false" ht="15.75" hidden="false" customHeight="false" outlineLevel="0" collapsed="false">
      <c r="A2" s="14" t="str">
        <f aca="false">Assm!A2</f>
        <v>257 KM PIPELINE SPUR FOR CUIABA POWER PLANT (BRAZIL)</v>
      </c>
    </row>
    <row r="3" customFormat="false" ht="15" hidden="false" customHeight="false" outlineLevel="0" collapsed="false">
      <c r="A3" s="18" t="str">
        <f aca="false">Assm!A3</f>
        <v>ENRON INTERNATIONAL</v>
      </c>
    </row>
    <row r="4" customFormat="false" ht="15" hidden="false" customHeight="false" outlineLevel="0" collapsed="false">
      <c r="A4" s="1204" t="s">
        <v>1119</v>
      </c>
      <c r="B4" s="1205"/>
      <c r="C4" s="1205"/>
    </row>
    <row r="11" customFormat="false" ht="13.5" hidden="false" customHeight="false" outlineLevel="0" collapsed="false">
      <c r="R11" s="1202" t="s">
        <v>1120</v>
      </c>
    </row>
    <row r="12" customFormat="false" ht="12.75" hidden="false" customHeight="false" outlineLevel="0" collapsed="false">
      <c r="A12" s="1206"/>
      <c r="B12" s="1207"/>
      <c r="C12" s="1208"/>
      <c r="D12" s="1208"/>
      <c r="E12" s="1208"/>
      <c r="F12" s="1208"/>
      <c r="G12" s="1207"/>
      <c r="H12" s="1208"/>
      <c r="I12" s="1208"/>
      <c r="J12" s="1208"/>
      <c r="K12" s="1208"/>
      <c r="L12" s="1209"/>
      <c r="N12" s="1210" t="s">
        <v>1121</v>
      </c>
      <c r="O12" s="1210"/>
      <c r="P12" s="1210"/>
    </row>
    <row r="13" customFormat="false" ht="12.75" hidden="false" customHeight="false" outlineLevel="0" collapsed="false">
      <c r="A13" s="1211"/>
      <c r="B13" s="1212" t="n">
        <v>1</v>
      </c>
      <c r="C13" s="1213" t="n">
        <f aca="false">B13+1</f>
        <v>2</v>
      </c>
      <c r="D13" s="1213" t="n">
        <f aca="false">C13+1</f>
        <v>3</v>
      </c>
      <c r="E13" s="1213" t="n">
        <f aca="false">D13+1</f>
        <v>4</v>
      </c>
      <c r="F13" s="1213" t="n">
        <f aca="false">E13+1</f>
        <v>5</v>
      </c>
      <c r="G13" s="1212" t="n">
        <v>1</v>
      </c>
      <c r="H13" s="1213" t="n">
        <f aca="false">G13+1</f>
        <v>2</v>
      </c>
      <c r="I13" s="1213" t="n">
        <f aca="false">H13+1</f>
        <v>3</v>
      </c>
      <c r="J13" s="1213" t="n">
        <f aca="false">I13+1</f>
        <v>4</v>
      </c>
      <c r="K13" s="1213" t="n">
        <f aca="false">J13+1</f>
        <v>5</v>
      </c>
      <c r="L13" s="1214" t="n">
        <f aca="false">K13+1</f>
        <v>6</v>
      </c>
      <c r="M13" s="1215" t="n">
        <f aca="false">M12+1</f>
        <v>1</v>
      </c>
      <c r="N13" s="1216" t="s">
        <v>1122</v>
      </c>
      <c r="O13" s="1203"/>
      <c r="P13" s="1217"/>
    </row>
    <row r="14" customFormat="false" ht="12.75" hidden="false" customHeight="false" outlineLevel="0" collapsed="false">
      <c r="A14" s="1211"/>
      <c r="B14" s="1218"/>
      <c r="C14" s="1203"/>
      <c r="D14" s="1203"/>
      <c r="E14" s="1203"/>
      <c r="F14" s="1203"/>
      <c r="G14" s="1219" t="s">
        <v>1123</v>
      </c>
      <c r="H14" s="1219"/>
      <c r="I14" s="1219"/>
      <c r="J14" s="1219"/>
      <c r="K14" s="1219"/>
      <c r="L14" s="1219"/>
      <c r="M14" s="1215" t="n">
        <f aca="false">M13+1</f>
        <v>2</v>
      </c>
      <c r="N14" s="1220" t="n">
        <v>2</v>
      </c>
      <c r="O14" s="1221" t="str">
        <f aca="false">N17</f>
        <v>US</v>
      </c>
      <c r="P14" s="1222" t="str">
        <f aca="false">N18</f>
        <v>CPI</v>
      </c>
    </row>
    <row r="15" customFormat="false" ht="12.75" hidden="false" customHeight="false" outlineLevel="0" collapsed="false">
      <c r="A15" s="1211"/>
      <c r="B15" s="1223" t="str">
        <f aca="false">IF('[3]Monthly Curve Calc.'!$F$12=1,"9/98 BANK CURVES","ALTERNATIVE CURVES")</f>
        <v>ALTERNATIVE CURVES</v>
      </c>
      <c r="F15" s="1203"/>
      <c r="G15" s="1218"/>
      <c r="L15" s="1217"/>
      <c r="M15" s="1215" t="n">
        <f aca="false">M14+1</f>
        <v>3</v>
      </c>
      <c r="N15" s="1224"/>
      <c r="O15" s="1213" t="s">
        <v>1124</v>
      </c>
      <c r="P15" s="1225" t="n">
        <v>1.005</v>
      </c>
    </row>
    <row r="16" customFormat="false" ht="12.75" hidden="false" customHeight="false" outlineLevel="0" collapsed="false">
      <c r="A16" s="1211"/>
      <c r="B16" s="1218"/>
      <c r="C16" s="1203"/>
      <c r="D16" s="1203"/>
      <c r="E16" s="1203"/>
      <c r="F16" s="1203"/>
      <c r="G16" s="1226" t="n">
        <v>35551</v>
      </c>
      <c r="H16" s="1227" t="n">
        <v>35551</v>
      </c>
      <c r="I16" s="1227" t="n">
        <v>35551</v>
      </c>
      <c r="J16" s="1227" t="n">
        <v>35796</v>
      </c>
      <c r="K16" s="1227" t="n">
        <v>35796</v>
      </c>
      <c r="L16" s="1228" t="n">
        <v>35796</v>
      </c>
      <c r="M16" s="1215" t="n">
        <f aca="false">M15+1</f>
        <v>4</v>
      </c>
      <c r="N16" s="1229" t="s">
        <v>1125</v>
      </c>
      <c r="O16" s="1230"/>
      <c r="P16" s="1231" t="n">
        <v>35916</v>
      </c>
    </row>
    <row r="17" customFormat="false" ht="12.75" hidden="false" customHeight="false" outlineLevel="0" collapsed="false">
      <c r="A17" s="1211"/>
      <c r="B17" s="1232" t="s">
        <v>1126</v>
      </c>
      <c r="C17" s="1233" t="s">
        <v>1127</v>
      </c>
      <c r="D17" s="1233" t="s">
        <v>1127</v>
      </c>
      <c r="E17" s="1233" t="s">
        <v>1128</v>
      </c>
      <c r="F17" s="1234" t="s">
        <v>1129</v>
      </c>
      <c r="G17" s="1232" t="s">
        <v>1126</v>
      </c>
      <c r="H17" s="1233" t="s">
        <v>1127</v>
      </c>
      <c r="I17" s="1233" t="s">
        <v>1130</v>
      </c>
      <c r="J17" s="1233" t="s">
        <v>1127</v>
      </c>
      <c r="K17" s="1233" t="s">
        <v>908</v>
      </c>
      <c r="L17" s="1235" t="s">
        <v>908</v>
      </c>
      <c r="M17" s="1215" t="n">
        <f aca="false">M16+1</f>
        <v>5</v>
      </c>
      <c r="N17" s="1236" t="str">
        <f aca="false">HLOOKUP(N$14,Dec_Change,$M17)</f>
        <v>US</v>
      </c>
      <c r="O17" s="1221"/>
      <c r="P17" s="1235" t="s">
        <v>1131</v>
      </c>
    </row>
    <row r="18" customFormat="false" ht="12.75" hidden="false" customHeight="false" outlineLevel="0" collapsed="false">
      <c r="A18" s="1237" t="s">
        <v>1111</v>
      </c>
      <c r="B18" s="1238" t="s">
        <v>1132</v>
      </c>
      <c r="C18" s="1239" t="s">
        <v>1133</v>
      </c>
      <c r="D18" s="1239" t="s">
        <v>1134</v>
      </c>
      <c r="E18" s="1239" t="s">
        <v>1135</v>
      </c>
      <c r="F18" s="1239" t="s">
        <v>1136</v>
      </c>
      <c r="G18" s="1238" t="s">
        <v>1132</v>
      </c>
      <c r="H18" s="1239" t="s">
        <v>1133</v>
      </c>
      <c r="I18" s="1240" t="n">
        <v>0.0025</v>
      </c>
      <c r="J18" s="1239" t="s">
        <v>1134</v>
      </c>
      <c r="K18" s="1239" t="s">
        <v>1135</v>
      </c>
      <c r="L18" s="1241" t="s">
        <v>1136</v>
      </c>
      <c r="M18" s="1215" t="n">
        <f aca="false">M17+1</f>
        <v>6</v>
      </c>
      <c r="N18" s="1242" t="str">
        <f aca="false">HLOOKUP(N$14,Dec_Change,$M18)</f>
        <v>CPI</v>
      </c>
      <c r="O18" s="1243" t="n">
        <f aca="false">P15</f>
        <v>1.005</v>
      </c>
      <c r="P18" s="1241" t="s">
        <v>1137</v>
      </c>
    </row>
    <row r="19" customFormat="false" ht="12.75" hidden="false" customHeight="false" outlineLevel="0" collapsed="false">
      <c r="A19" s="1244" t="n">
        <v>35400</v>
      </c>
      <c r="B19" s="1245" t="n">
        <f aca="false">'[3]Monthly Curve Calc.'!B22</f>
        <v>134.689</v>
      </c>
      <c r="C19" s="1246" t="n">
        <f aca="false">'[3]Monthly Curve Calc.'!C22</f>
        <v>159.1</v>
      </c>
      <c r="D19" s="1246" t="n">
        <f aca="false">'[3]Monthly Curve Calc.'!D22</f>
        <v>133</v>
      </c>
      <c r="E19" s="1246" t="n">
        <f aca="false">'[3]Monthly Curve Calc.'!E22</f>
        <v>25.92</v>
      </c>
      <c r="F19" s="1247" t="n">
        <f aca="false">'[3]Monthly Curve Calc.'!F22</f>
        <v>1.0385</v>
      </c>
      <c r="G19" s="1248" t="n">
        <v>1</v>
      </c>
      <c r="H19" s="1249" t="n">
        <v>1</v>
      </c>
      <c r="I19" s="1249" t="n">
        <v>1</v>
      </c>
      <c r="J19" s="1249" t="n">
        <v>1</v>
      </c>
      <c r="K19" s="1250" t="n">
        <f aca="false">E19</f>
        <v>25.92</v>
      </c>
      <c r="L19" s="1251" t="n">
        <f aca="false">F19</f>
        <v>1.0385</v>
      </c>
      <c r="M19" s="1215" t="n">
        <f aca="false">M18+1</f>
        <v>7</v>
      </c>
      <c r="N19" s="1252" t="n">
        <f aca="false">HLOOKUP(N$14,Dec_Change,$M19)</f>
        <v>1</v>
      </c>
      <c r="O19" s="1253" t="n">
        <f aca="false">O18</f>
        <v>1.005</v>
      </c>
      <c r="P19" s="1225" t="n">
        <v>1</v>
      </c>
    </row>
    <row r="20" customFormat="false" ht="12.75" hidden="false" customHeight="false" outlineLevel="0" collapsed="false">
      <c r="A20" s="1254" t="n">
        <f aca="false">EDATE(A19,1)</f>
        <v>35431</v>
      </c>
      <c r="B20" s="1245" t="n">
        <f aca="false">'[3]Monthly Curve Calc.'!B23</f>
        <v>136.814</v>
      </c>
      <c r="C20" s="1246" t="n">
        <f aca="false">'[3]Monthly Curve Calc.'!C23</f>
        <v>159.1</v>
      </c>
      <c r="D20" s="1246" t="n">
        <f aca="false">'[3]Monthly Curve Calc.'!D23</f>
        <v>133</v>
      </c>
      <c r="E20" s="1246" t="n">
        <f aca="false">'[3]Monthly Curve Calc.'!E23</f>
        <v>24.15</v>
      </c>
      <c r="F20" s="1247" t="n">
        <f aca="false">'[3]Monthly Curve Calc.'!F23</f>
        <v>1.0456</v>
      </c>
      <c r="G20" s="1255" t="n">
        <f aca="false">IF(AND($A20&gt;G$16,MONTH($A20)=MONTH(G$16)),B19/B7,G19)</f>
        <v>1</v>
      </c>
      <c r="H20" s="1253" t="n">
        <f aca="false">IF(AND($A20&gt;H$16,MONTH($A20)=MONTH(H$16)),C19/C7,H19)</f>
        <v>1</v>
      </c>
      <c r="I20" s="1253" t="n">
        <f aca="false">IF(AND($A20&gt;I$16,MONTH($A20)=MONTH(I$16)),C19/C7-I$18,I19)</f>
        <v>1</v>
      </c>
      <c r="J20" s="1253" t="n">
        <f aca="false">IF(AND($A20&gt;J$16,MONTH($A20)=MONTH(J$16)),D19/D7,J19)</f>
        <v>1</v>
      </c>
      <c r="K20" s="1253" t="n">
        <f aca="false">IF($A20&gt;=K$16,IF(MONTH($A20)=MONTH(K$16),AVERAGE(E8:E19),K19),K19)</f>
        <v>25.92</v>
      </c>
      <c r="L20" s="1256" t="n">
        <f aca="false">IF($A20&gt;=L$16,IF(MONTH($A20)=MONTH(L$16),AVERAGE(F8:F19),L19),L19)</f>
        <v>1.0385</v>
      </c>
      <c r="M20" s="1215" t="n">
        <f aca="false">M19+1</f>
        <v>8</v>
      </c>
      <c r="N20" s="1252" t="n">
        <f aca="false">HLOOKUP(N$14,Dec_Change,$M20)</f>
        <v>1</v>
      </c>
      <c r="O20" s="1253" t="n">
        <f aca="false">O19</f>
        <v>1.005</v>
      </c>
      <c r="P20" s="1256" t="n">
        <f aca="false">IF(AND($A20&gt;=P$16,MONTH($A20)=MONTH(P$16)),MAX(N20,O20)*P19,P19)</f>
        <v>1</v>
      </c>
    </row>
    <row r="21" customFormat="false" ht="12.75" hidden="false" customHeight="false" outlineLevel="0" collapsed="false">
      <c r="A21" s="1254" t="n">
        <f aca="false">EDATE(A20,1)</f>
        <v>35462</v>
      </c>
      <c r="B21" s="1245" t="n">
        <f aca="false">'[3]Monthly Curve Calc.'!B24</f>
        <v>137.39</v>
      </c>
      <c r="C21" s="1246" t="n">
        <f aca="false">'[3]Monthly Curve Calc.'!C24</f>
        <v>159.6</v>
      </c>
      <c r="D21" s="1246" t="n">
        <f aca="false">'[3]Monthly Curve Calc.'!D24</f>
        <v>132.7</v>
      </c>
      <c r="E21" s="1246" t="n">
        <f aca="false">'[3]Monthly Curve Calc.'!E24</f>
        <v>20.3</v>
      </c>
      <c r="F21" s="1247" t="n">
        <f aca="false">'[3]Monthly Curve Calc.'!F24</f>
        <v>1.051</v>
      </c>
      <c r="G21" s="1255" t="n">
        <f aca="false">IF(AND($A21&gt;G$16,MONTH($A21)=MONTH(G$16)),B20/B8,G20)</f>
        <v>1</v>
      </c>
      <c r="H21" s="1253" t="n">
        <f aca="false">IF(AND($A21&gt;H$16,MONTH($A21)=MONTH(H$16)),C20/C8,H20)</f>
        <v>1</v>
      </c>
      <c r="I21" s="1253" t="n">
        <f aca="false">IF(AND($A21&gt;I$16,MONTH($A21)=MONTH(I$16)),C20/C8-I$18,I20)</f>
        <v>1</v>
      </c>
      <c r="J21" s="1253" t="n">
        <f aca="false">IF(AND($A21&gt;J$16,MONTH($A21)=MONTH(J$16)),D20/D8,J20)</f>
        <v>1</v>
      </c>
      <c r="K21" s="1253" t="n">
        <f aca="false">IF($A21&gt;=K$16,IF(MONTH($A21)=MONTH(K$16),AVERAGE(E9:E20),K20),K20)</f>
        <v>25.92</v>
      </c>
      <c r="L21" s="1256" t="n">
        <f aca="false">IF($A21&gt;=L$16,IF(MONTH($A21)=MONTH(L$16),AVERAGE(F9:F20),L20),L20)</f>
        <v>1.0385</v>
      </c>
      <c r="M21" s="1215" t="n">
        <f aca="false">M20+1</f>
        <v>9</v>
      </c>
      <c r="N21" s="1252" t="n">
        <f aca="false">HLOOKUP(N$14,Dec_Change,$M21)</f>
        <v>1</v>
      </c>
      <c r="O21" s="1253" t="n">
        <f aca="false">O20</f>
        <v>1.005</v>
      </c>
      <c r="P21" s="1256" t="n">
        <f aca="false">IF(AND($A21&gt;=P$16,MONTH($A21)=MONTH(P$16)),MAX(N21,O21)*P20,P20)</f>
        <v>1</v>
      </c>
    </row>
    <row r="22" customFormat="false" ht="12.75" hidden="false" customHeight="false" outlineLevel="0" collapsed="false">
      <c r="A22" s="1254" t="n">
        <f aca="false">EDATE(A21,1)</f>
        <v>35490</v>
      </c>
      <c r="B22" s="1245" t="n">
        <f aca="false">'[3]Monthly Curve Calc.'!B25</f>
        <v>138.99</v>
      </c>
      <c r="C22" s="1246" t="n">
        <f aca="false">'[3]Monthly Curve Calc.'!C25</f>
        <v>160</v>
      </c>
      <c r="D22" s="1246" t="n">
        <f aca="false">'[3]Monthly Curve Calc.'!D25</f>
        <v>132.5</v>
      </c>
      <c r="E22" s="1246" t="n">
        <f aca="false">'[3]Monthly Curve Calc.'!E25</f>
        <v>20.41</v>
      </c>
      <c r="F22" s="1247" t="n">
        <f aca="false">'[3]Monthly Curve Calc.'!F25</f>
        <v>1.0594</v>
      </c>
      <c r="G22" s="1255" t="n">
        <f aca="false">IF(AND($A22&gt;G$16,MONTH($A22)=MONTH(G$16)),B21/B9,G21)</f>
        <v>1</v>
      </c>
      <c r="H22" s="1253" t="n">
        <f aca="false">IF(AND($A22&gt;H$16,MONTH($A22)=MONTH(H$16)),C21/C9,H21)</f>
        <v>1</v>
      </c>
      <c r="I22" s="1253" t="n">
        <f aca="false">IF(AND($A22&gt;I$16,MONTH($A22)=MONTH(I$16)),C21/C9-I$18,I21)</f>
        <v>1</v>
      </c>
      <c r="J22" s="1253" t="n">
        <f aca="false">IF(AND($A22&gt;J$16,MONTH($A22)=MONTH(J$16)),D21/D9,J21)</f>
        <v>1</v>
      </c>
      <c r="K22" s="1253" t="n">
        <f aca="false">IF($A22&gt;=K$16,IF(MONTH($A22)=MONTH(K$16),AVERAGE(E10:E21),K21),K21)</f>
        <v>25.92</v>
      </c>
      <c r="L22" s="1256" t="n">
        <f aca="false">IF($A22&gt;=L$16,IF(MONTH($A22)=MONTH(L$16),AVERAGE(F10:F21),L21),L21)</f>
        <v>1.0385</v>
      </c>
      <c r="M22" s="1215" t="n">
        <f aca="false">M21+1</f>
        <v>10</v>
      </c>
      <c r="N22" s="1252" t="n">
        <f aca="false">HLOOKUP(N$14,Dec_Change,$M22)</f>
        <v>1</v>
      </c>
      <c r="O22" s="1253" t="n">
        <f aca="false">O21</f>
        <v>1.005</v>
      </c>
      <c r="P22" s="1256" t="n">
        <f aca="false">IF(AND($A22&gt;=P$16,MONTH($A22)=MONTH(P$16)),MAX(N22,O22)*P21,P21)</f>
        <v>1</v>
      </c>
    </row>
    <row r="23" customFormat="false" ht="12.75" hidden="false" customHeight="false" outlineLevel="0" collapsed="false">
      <c r="A23" s="1254" t="n">
        <f aca="false">EDATE(A22,1)</f>
        <v>35521</v>
      </c>
      <c r="B23" s="1245" t="n">
        <f aca="false">'[3]Monthly Curve Calc.'!B26</f>
        <v>139.807</v>
      </c>
      <c r="C23" s="1246" t="n">
        <f aca="false">'[3]Monthly Curve Calc.'!C26</f>
        <v>160.2</v>
      </c>
      <c r="D23" s="1246" t="n">
        <f aca="false">'[3]Monthly Curve Calc.'!D26</f>
        <v>131.9</v>
      </c>
      <c r="E23" s="1246" t="n">
        <f aca="false">'[3]Monthly Curve Calc.'!E26</f>
        <v>19.74773</v>
      </c>
      <c r="F23" s="1247" t="n">
        <f aca="false">'[3]Monthly Curve Calc.'!F26</f>
        <v>1.0635</v>
      </c>
      <c r="G23" s="1255" t="n">
        <f aca="false">IF(AND($A23&gt;G$16,MONTH($A23)=MONTH(G$16)),B22/B10,G22)</f>
        <v>1</v>
      </c>
      <c r="H23" s="1253" t="n">
        <f aca="false">IF(AND($A23&gt;H$16,MONTH($A23)=MONTH(H$16)),C22/C10,H22)</f>
        <v>1</v>
      </c>
      <c r="I23" s="1253" t="n">
        <f aca="false">IF(AND($A23&gt;I$16,MONTH($A23)=MONTH(I$16)),C22/C10-I$18,I22)</f>
        <v>1</v>
      </c>
      <c r="J23" s="1253" t="n">
        <f aca="false">IF(AND($A23&gt;J$16,MONTH($A23)=MONTH(J$16)),D22/D10,J22)</f>
        <v>1</v>
      </c>
      <c r="K23" s="1253" t="n">
        <f aca="false">IF($A23&gt;=K$16,IF(MONTH($A23)=MONTH(K$16),AVERAGE(E11:E22),K22),K22)</f>
        <v>25.92</v>
      </c>
      <c r="L23" s="1256" t="n">
        <f aca="false">IF($A23&gt;=L$16,IF(MONTH($A23)=MONTH(L$16),AVERAGE(F11:F22),L22),L22)</f>
        <v>1.0385</v>
      </c>
      <c r="M23" s="1215" t="n">
        <f aca="false">M22+1</f>
        <v>11</v>
      </c>
      <c r="N23" s="1252" t="n">
        <f aca="false">HLOOKUP(N$14,Dec_Change,$M23)</f>
        <v>1</v>
      </c>
      <c r="O23" s="1253" t="n">
        <f aca="false">O22</f>
        <v>1.005</v>
      </c>
      <c r="P23" s="1256" t="n">
        <f aca="false">IF(AND($A23&gt;=P$16,MONTH($A23)=MONTH(P$16)),MAX(N23,O23)*P22,P22)</f>
        <v>1</v>
      </c>
    </row>
    <row r="24" customFormat="false" ht="12.75" hidden="false" customHeight="false" outlineLevel="0" collapsed="false">
      <c r="A24" s="1254" t="n">
        <f aca="false">EDATE(A23,1)</f>
        <v>35551</v>
      </c>
      <c r="B24" s="1245" t="n">
        <f aca="false">'[3]Monthly Curve Calc.'!B27</f>
        <v>140.22</v>
      </c>
      <c r="C24" s="1246" t="n">
        <f aca="false">'[3]Monthly Curve Calc.'!C27</f>
        <v>160.1</v>
      </c>
      <c r="D24" s="1246" t="n">
        <f aca="false">'[3]Monthly Curve Calc.'!D27</f>
        <v>131.6</v>
      </c>
      <c r="E24" s="1246" t="n">
        <f aca="false">'[3]Monthly Curve Calc.'!E27</f>
        <v>20.91</v>
      </c>
      <c r="F24" s="1247" t="n">
        <f aca="false">'[3]Monthly Curve Calc.'!F27</f>
        <v>1.0703</v>
      </c>
      <c r="G24" s="1255" t="n">
        <f aca="false">IF(AND($A24&gt;G$16,MONTH($A24)=MONTH(G$16)),B23/B11,G23)</f>
        <v>1</v>
      </c>
      <c r="H24" s="1253" t="n">
        <f aca="false">IF(AND($A24&gt;H$16,MONTH($A24)=MONTH(H$16)),C23/C11,H23)</f>
        <v>1</v>
      </c>
      <c r="I24" s="1253" t="n">
        <f aca="false">IF(AND($A24&gt;I$16,MONTH($A24)=MONTH(I$16)),C23/C11-I$18,I23)</f>
        <v>1</v>
      </c>
      <c r="J24" s="1253" t="n">
        <f aca="false">IF(AND($A24&gt;J$16,MONTH($A24)=MONTH(J$16)),D23/D11,J23)</f>
        <v>1</v>
      </c>
      <c r="K24" s="1253" t="n">
        <f aca="false">IF($A24&gt;=K$16,IF(MONTH($A24)=MONTH(K$16),AVERAGE(E12:E23),K23),K23)</f>
        <v>25.92</v>
      </c>
      <c r="L24" s="1256" t="n">
        <f aca="false">IF($A24&gt;=L$16,IF(MONTH($A24)=MONTH(L$16),AVERAGE(F12:F23),L23),L23)</f>
        <v>1.0385</v>
      </c>
      <c r="M24" s="1215" t="n">
        <f aca="false">M23+1</f>
        <v>12</v>
      </c>
      <c r="N24" s="1252" t="n">
        <f aca="false">HLOOKUP(N$14,Dec_Change,$M24)</f>
        <v>1</v>
      </c>
      <c r="O24" s="1253" t="n">
        <f aca="false">O23</f>
        <v>1.005</v>
      </c>
      <c r="P24" s="1256" t="n">
        <f aca="false">IF(AND($A24&gt;=P$16,MONTH($A24)=MONTH(P$16)),MAX(N24,O24)*P23,P23)</f>
        <v>1</v>
      </c>
    </row>
    <row r="25" customFormat="false" ht="12.75" hidden="false" customHeight="false" outlineLevel="0" collapsed="false">
      <c r="A25" s="1254" t="n">
        <f aca="false">EDATE(A24,1)</f>
        <v>35582</v>
      </c>
      <c r="B25" s="1245" t="n">
        <f aca="false">'[3]Monthly Curve Calc.'!B28</f>
        <v>141.207</v>
      </c>
      <c r="C25" s="1246" t="n">
        <f aca="false">'[3]Monthly Curve Calc.'!C28</f>
        <v>160.3</v>
      </c>
      <c r="D25" s="1246" t="n">
        <f aca="false">'[3]Monthly Curve Calc.'!D28</f>
        <v>131.3</v>
      </c>
      <c r="E25" s="1246" t="n">
        <f aca="false">'[3]Monthly Curve Calc.'!E28</f>
        <v>19.27738</v>
      </c>
      <c r="F25" s="1247" t="n">
        <f aca="false">'[3]Monthly Curve Calc.'!F28</f>
        <v>1.0766</v>
      </c>
      <c r="G25" s="1255" t="n">
        <f aca="false">IF(AND($A25&gt;G$16,MONTH($A25)=MONTH(G$16)),B24/B12,G24)</f>
        <v>1</v>
      </c>
      <c r="H25" s="1253" t="n">
        <f aca="false">IF(AND($A25&gt;H$16,MONTH($A25)=MONTH(H$16)),C24/C12,H24)</f>
        <v>1</v>
      </c>
      <c r="I25" s="1253" t="n">
        <f aca="false">IF(AND($A25&gt;I$16,MONTH($A25)=MONTH(I$16)),C24/C12-I$18,I24)</f>
        <v>1</v>
      </c>
      <c r="J25" s="1253" t="n">
        <f aca="false">IF(AND($A25&gt;J$16,MONTH($A25)=MONTH(J$16)),D24/D12,J24)</f>
        <v>1</v>
      </c>
      <c r="K25" s="1253" t="n">
        <f aca="false">IF($A25&gt;=K$16,IF(MONTH($A25)=MONTH(K$16),AVERAGE(E13:E24),K24),K24)</f>
        <v>25.92</v>
      </c>
      <c r="L25" s="1256" t="n">
        <f aca="false">IF($A25&gt;=L$16,IF(MONTH($A25)=MONTH(L$16),AVERAGE(F13:F24),L24),L24)</f>
        <v>1.0385</v>
      </c>
      <c r="M25" s="1215" t="n">
        <f aca="false">M24+1</f>
        <v>13</v>
      </c>
      <c r="N25" s="1252" t="n">
        <f aca="false">HLOOKUP(N$14,Dec_Change,$M25)</f>
        <v>1</v>
      </c>
      <c r="O25" s="1253" t="n">
        <f aca="false">O24</f>
        <v>1.005</v>
      </c>
      <c r="P25" s="1256" t="n">
        <f aca="false">IF(AND($A25&gt;=P$16,MONTH($A25)=MONTH(P$16)),MAX(N25,O25)*P24,P24)</f>
        <v>1</v>
      </c>
    </row>
    <row r="26" customFormat="false" ht="12.75" hidden="false" customHeight="false" outlineLevel="0" collapsed="false">
      <c r="A26" s="1254" t="n">
        <f aca="false">EDATE(A25,1)</f>
        <v>35612</v>
      </c>
      <c r="B26" s="1245" t="n">
        <f aca="false">'[3]Monthly Curve Calc.'!B29</f>
        <v>141.33</v>
      </c>
      <c r="C26" s="1246" t="n">
        <f aca="false">'[3]Monthly Curve Calc.'!C29</f>
        <v>160.5</v>
      </c>
      <c r="D26" s="1246" t="n">
        <f aca="false">'[3]Monthly Curve Calc.'!D29</f>
        <v>131</v>
      </c>
      <c r="E26" s="1246" t="n">
        <f aca="false">'[3]Monthly Curve Calc.'!E29</f>
        <v>19.63409</v>
      </c>
      <c r="F26" s="1247" t="n">
        <f aca="false">'[3]Monthly Curve Calc.'!F29</f>
        <v>1.0829</v>
      </c>
      <c r="G26" s="1255" t="n">
        <f aca="false">IF(AND($A26&gt;G$16,MONTH($A26)=MONTH(G$16)),B25/B13,G25)</f>
        <v>1</v>
      </c>
      <c r="H26" s="1253" t="n">
        <f aca="false">IF(AND($A26&gt;H$16,MONTH($A26)=MONTH(H$16)),C25/C13,H25)</f>
        <v>1</v>
      </c>
      <c r="I26" s="1253" t="n">
        <f aca="false">IF(AND($A26&gt;I$16,MONTH($A26)=MONTH(I$16)),C25/C13-I$18,I25)</f>
        <v>1</v>
      </c>
      <c r="J26" s="1253" t="n">
        <f aca="false">IF(AND($A26&gt;J$16,MONTH($A26)=MONTH(J$16)),D25/D13,J25)</f>
        <v>1</v>
      </c>
      <c r="K26" s="1253" t="n">
        <f aca="false">IF($A26&gt;=K$16,IF(MONTH($A26)=MONTH(K$16),AVERAGE(E14:E25),K25),K25)</f>
        <v>25.92</v>
      </c>
      <c r="L26" s="1256" t="n">
        <f aca="false">IF($A26&gt;=L$16,IF(MONTH($A26)=MONTH(L$16),AVERAGE(F14:F25),L25),L25)</f>
        <v>1.0385</v>
      </c>
      <c r="M26" s="1215" t="n">
        <f aca="false">M25+1</f>
        <v>14</v>
      </c>
      <c r="N26" s="1252" t="n">
        <f aca="false">HLOOKUP(N$14,Dec_Change,$M26)</f>
        <v>1</v>
      </c>
      <c r="O26" s="1253" t="n">
        <f aca="false">O25</f>
        <v>1.005</v>
      </c>
      <c r="P26" s="1256" t="n">
        <f aca="false">IF(AND($A26&gt;=P$16,MONTH($A26)=MONTH(P$16)),MAX(N26,O26)*P25,P25)</f>
        <v>1</v>
      </c>
    </row>
    <row r="27" customFormat="false" ht="12.75" hidden="false" customHeight="false" outlineLevel="0" collapsed="false">
      <c r="A27" s="1254" t="n">
        <f aca="false">EDATE(A26,1)</f>
        <v>35643</v>
      </c>
      <c r="B27" s="1245" t="n">
        <f aca="false">'[3]Monthly Curve Calc.'!B30</f>
        <v>141.26</v>
      </c>
      <c r="C27" s="1246" t="n">
        <f aca="false">'[3]Monthly Curve Calc.'!C30</f>
        <v>160.8</v>
      </c>
      <c r="D27" s="1246" t="n">
        <f aca="false">'[3]Monthly Curve Calc.'!D30</f>
        <v>131.3</v>
      </c>
      <c r="E27" s="1246" t="n">
        <f aca="false">'[3]Monthly Curve Calc.'!E30</f>
        <v>19.93286</v>
      </c>
      <c r="F27" s="1247" t="n">
        <f aca="false">'[3]Monthly Curve Calc.'!F30</f>
        <v>1.0913</v>
      </c>
      <c r="G27" s="1255" t="n">
        <f aca="false">IF(AND($A27&gt;G$16,MONTH($A27)=MONTH(G$16)),B26/B14,G26)</f>
        <v>1</v>
      </c>
      <c r="H27" s="1253" t="n">
        <f aca="false">IF(AND($A27&gt;H$16,MONTH($A27)=MONTH(H$16)),C26/C14,H26)</f>
        <v>1</v>
      </c>
      <c r="I27" s="1253" t="n">
        <f aca="false">IF(AND($A27&gt;I$16,MONTH($A27)=MONTH(I$16)),C26/C14-I$18,I26)</f>
        <v>1</v>
      </c>
      <c r="J27" s="1253" t="n">
        <f aca="false">IF(AND($A27&gt;J$16,MONTH($A27)=MONTH(J$16)),D26/D14,J26)</f>
        <v>1</v>
      </c>
      <c r="K27" s="1253" t="n">
        <f aca="false">IF($A27&gt;=K$16,IF(MONTH($A27)=MONTH(K$16),AVERAGE(E15:E26),K26),K26)</f>
        <v>25.92</v>
      </c>
      <c r="L27" s="1256" t="n">
        <f aca="false">IF($A27&gt;=L$16,IF(MONTH($A27)=MONTH(L$16),AVERAGE(F15:F26),L26),L26)</f>
        <v>1.0385</v>
      </c>
      <c r="M27" s="1215" t="n">
        <f aca="false">M26+1</f>
        <v>15</v>
      </c>
      <c r="N27" s="1252" t="n">
        <f aca="false">HLOOKUP(N$14,Dec_Change,$M27)</f>
        <v>1</v>
      </c>
      <c r="O27" s="1253" t="n">
        <f aca="false">O26</f>
        <v>1.005</v>
      </c>
      <c r="P27" s="1256" t="n">
        <f aca="false">IF(AND($A27&gt;=P$16,MONTH($A27)=MONTH(P$16)),MAX(N27,O27)*P26,P26)</f>
        <v>1</v>
      </c>
    </row>
    <row r="28" customFormat="false" ht="12.75" hidden="false" customHeight="false" outlineLevel="0" collapsed="false">
      <c r="A28" s="1254" t="n">
        <f aca="false">EDATE(A27,1)</f>
        <v>35674</v>
      </c>
      <c r="B28" s="1245" t="n">
        <f aca="false">'[3]Monthly Curve Calc.'!B31</f>
        <v>142.101</v>
      </c>
      <c r="C28" s="1246" t="n">
        <f aca="false">'[3]Monthly Curve Calc.'!C31</f>
        <v>161.2</v>
      </c>
      <c r="D28" s="1246" t="n">
        <f aca="false">'[3]Monthly Curve Calc.'!D31</f>
        <v>131.7</v>
      </c>
      <c r="E28" s="1246" t="n">
        <f aca="false">'[3]Monthly Curve Calc.'!E31</f>
        <v>19.775955</v>
      </c>
      <c r="F28" s="1247" t="n">
        <f aca="false">'[3]Monthly Curve Calc.'!F31</f>
        <v>1.096</v>
      </c>
      <c r="G28" s="1255" t="n">
        <f aca="false">IF(AND($A28&gt;G$16,MONTH($A28)=MONTH(G$16)),B27/B15,G27)</f>
        <v>1</v>
      </c>
      <c r="H28" s="1253" t="n">
        <f aca="false">IF(AND($A28&gt;H$16,MONTH($A28)=MONTH(H$16)),C27/C15,H27)</f>
        <v>1</v>
      </c>
      <c r="I28" s="1253" t="n">
        <f aca="false">IF(AND($A28&gt;I$16,MONTH($A28)=MONTH(I$16)),C27/C15-I$18,I27)</f>
        <v>1</v>
      </c>
      <c r="J28" s="1253" t="n">
        <f aca="false">IF(AND($A28&gt;J$16,MONTH($A28)=MONTH(J$16)),D27/D15,J27)</f>
        <v>1</v>
      </c>
      <c r="K28" s="1253" t="n">
        <f aca="false">IF($A28&gt;=K$16,IF(MONTH($A28)=MONTH(K$16),AVERAGE(E16:E27),K27),K27)</f>
        <v>25.92</v>
      </c>
      <c r="L28" s="1256" t="n">
        <f aca="false">IF($A28&gt;=L$16,IF(MONTH($A28)=MONTH(L$16),AVERAGE(F16:F27),L27),L27)</f>
        <v>1.0385</v>
      </c>
      <c r="M28" s="1215" t="n">
        <f aca="false">M27+1</f>
        <v>16</v>
      </c>
      <c r="N28" s="1252" t="n">
        <f aca="false">HLOOKUP(N$14,Dec_Change,$M28)</f>
        <v>1</v>
      </c>
      <c r="O28" s="1253" t="n">
        <f aca="false">O27</f>
        <v>1.005</v>
      </c>
      <c r="P28" s="1256" t="n">
        <f aca="false">IF(AND($A28&gt;=P$16,MONTH($A28)=MONTH(P$16)),MAX(N28,O28)*P27,P27)</f>
        <v>1</v>
      </c>
    </row>
    <row r="29" customFormat="false" ht="12.75" hidden="false" customHeight="false" outlineLevel="0" collapsed="false">
      <c r="A29" s="1254" t="n">
        <f aca="false">EDATE(A28,1)</f>
        <v>35704</v>
      </c>
      <c r="B29" s="1245" t="n">
        <f aca="false">'[3]Monthly Curve Calc.'!B32</f>
        <v>142.587</v>
      </c>
      <c r="C29" s="1246" t="n">
        <f aca="false">'[3]Monthly Curve Calc.'!C32</f>
        <v>161.6</v>
      </c>
      <c r="D29" s="1246" t="n">
        <f aca="false">'[3]Monthly Curve Calc.'!D32</f>
        <v>131.8</v>
      </c>
      <c r="E29" s="1246" t="n">
        <f aca="false">'[3]Monthly Curve Calc.'!E32</f>
        <v>21.271305</v>
      </c>
      <c r="F29" s="1247" t="n">
        <f aca="false">'[3]Monthly Curve Calc.'!F32</f>
        <v>1.1027</v>
      </c>
      <c r="G29" s="1255" t="n">
        <f aca="false">IF(AND($A29&gt;G$16,MONTH($A29)=MONTH(G$16)),B28/B16,G28)</f>
        <v>1</v>
      </c>
      <c r="H29" s="1253" t="n">
        <f aca="false">IF(AND($A29&gt;H$16,MONTH($A29)=MONTH(H$16)),C28/C16,H28)</f>
        <v>1</v>
      </c>
      <c r="I29" s="1253" t="n">
        <f aca="false">IF(AND($A29&gt;I$16,MONTH($A29)=MONTH(I$16)),C28/C16-I$18,I28)</f>
        <v>1</v>
      </c>
      <c r="J29" s="1253" t="n">
        <f aca="false">IF(AND($A29&gt;J$16,MONTH($A29)=MONTH(J$16)),D28/D16,J28)</f>
        <v>1</v>
      </c>
      <c r="K29" s="1253" t="n">
        <f aca="false">IF($A29&gt;=K$16,IF(MONTH($A29)=MONTH(K$16),AVERAGE(E17:E28),K28),K28)</f>
        <v>25.92</v>
      </c>
      <c r="L29" s="1256" t="n">
        <f aca="false">IF($A29&gt;=L$16,IF(MONTH($A29)=MONTH(L$16),AVERAGE(F17:F28),L28),L28)</f>
        <v>1.0385</v>
      </c>
      <c r="M29" s="1215" t="n">
        <f aca="false">M28+1</f>
        <v>17</v>
      </c>
      <c r="N29" s="1252" t="n">
        <f aca="false">HLOOKUP(N$14,Dec_Change,$M29)</f>
        <v>1</v>
      </c>
      <c r="O29" s="1253" t="n">
        <f aca="false">O28</f>
        <v>1.005</v>
      </c>
      <c r="P29" s="1256" t="n">
        <f aca="false">IF(AND($A29&gt;=P$16,MONTH($A29)=MONTH(P$16)),MAX(N29,O29)*P28,P28)</f>
        <v>1</v>
      </c>
    </row>
    <row r="30" customFormat="false" ht="12.75" hidden="false" customHeight="false" outlineLevel="0" collapsed="false">
      <c r="A30" s="1254" t="n">
        <f aca="false">EDATE(A29,1)</f>
        <v>35735</v>
      </c>
      <c r="B30" s="1245" t="n">
        <f aca="false">'[3]Monthly Curve Calc.'!B33</f>
        <v>143.771</v>
      </c>
      <c r="C30" s="1246" t="n">
        <f aca="false">'[3]Monthly Curve Calc.'!C33</f>
        <v>161.5</v>
      </c>
      <c r="D30" s="1246" t="n">
        <f aca="false">'[3]Monthly Curve Calc.'!D33</f>
        <v>131.5</v>
      </c>
      <c r="E30" s="1246" t="n">
        <f aca="false">'[3]Monthly Curve Calc.'!E33</f>
        <v>20.176945</v>
      </c>
      <c r="F30" s="1247" t="n">
        <f aca="false">'[3]Monthly Curve Calc.'!F33</f>
        <v>1.1095</v>
      </c>
      <c r="G30" s="1255" t="n">
        <f aca="false">IF(AND($A30&gt;G$16,MONTH($A30)=MONTH(G$16)),B29/B17,G29)</f>
        <v>1</v>
      </c>
      <c r="H30" s="1253" t="n">
        <f aca="false">IF(AND($A30&gt;H$16,MONTH($A30)=MONTH(H$16)),C29/C17,H29)</f>
        <v>1</v>
      </c>
      <c r="I30" s="1253" t="n">
        <f aca="false">IF(AND($A30&gt;I$16,MONTH($A30)=MONTH(I$16)),C29/C17-I$18,I29)</f>
        <v>1</v>
      </c>
      <c r="J30" s="1253" t="n">
        <f aca="false">IF(AND($A30&gt;J$16,MONTH($A30)=MONTH(J$16)),D29/D17,J29)</f>
        <v>1</v>
      </c>
      <c r="K30" s="1253" t="n">
        <f aca="false">IF($A30&gt;=K$16,IF(MONTH($A30)=MONTH(K$16),AVERAGE(E18:E29),K29),K29)</f>
        <v>25.92</v>
      </c>
      <c r="L30" s="1256" t="n">
        <f aca="false">IF($A30&gt;=L$16,IF(MONTH($A30)=MONTH(L$16),AVERAGE(F18:F29),L29),L29)</f>
        <v>1.0385</v>
      </c>
      <c r="M30" s="1215" t="n">
        <f aca="false">M29+1</f>
        <v>18</v>
      </c>
      <c r="N30" s="1252" t="n">
        <f aca="false">HLOOKUP(N$14,Dec_Change,$M30)</f>
        <v>1</v>
      </c>
      <c r="O30" s="1253" t="n">
        <f aca="false">O29</f>
        <v>1.005</v>
      </c>
      <c r="P30" s="1256" t="n">
        <f aca="false">IF(AND($A30&gt;=P$16,MONTH($A30)=MONTH(P$16)),MAX(N30,O30)*P29,P29)</f>
        <v>1</v>
      </c>
    </row>
    <row r="31" customFormat="false" ht="12.75" hidden="false" customHeight="false" outlineLevel="0" collapsed="false">
      <c r="A31" s="1254" t="n">
        <f aca="false">EDATE(A30,1)</f>
        <v>35765</v>
      </c>
      <c r="B31" s="1245" t="n">
        <f aca="false">'[3]Monthly Curve Calc.'!B34</f>
        <v>144.765</v>
      </c>
      <c r="C31" s="1246" t="n">
        <f aca="false">'[3]Monthly Curve Calc.'!C34</f>
        <v>161.3</v>
      </c>
      <c r="D31" s="1246" t="n">
        <f aca="false">'[3]Monthly Curve Calc.'!D34</f>
        <v>131.4</v>
      </c>
      <c r="E31" s="1246" t="n">
        <f aca="false">'[3]Monthly Curve Calc.'!E34</f>
        <v>18.299775</v>
      </c>
      <c r="F31" s="1247" t="n">
        <f aca="false">'[3]Monthly Curve Calc.'!F34</f>
        <v>1.116</v>
      </c>
      <c r="G31" s="1255" t="n">
        <f aca="false">IF(AND($A31&gt;G$16,MONTH($A31)=MONTH(G$16)),B30/B18,G30)</f>
        <v>1</v>
      </c>
      <c r="H31" s="1253" t="n">
        <f aca="false">IF(AND($A31&gt;H$16,MONTH($A31)=MONTH(H$16)),C30/C18,H30)</f>
        <v>1</v>
      </c>
      <c r="I31" s="1253" t="n">
        <f aca="false">IF(AND($A31&gt;I$16,MONTH($A31)=MONTH(I$16)),C30/C18-I$18,I30)</f>
        <v>1</v>
      </c>
      <c r="J31" s="1253" t="n">
        <f aca="false">IF(AND($A31&gt;J$16,MONTH($A31)=MONTH(J$16)),D30/D18,J30)</f>
        <v>1</v>
      </c>
      <c r="K31" s="1253" t="n">
        <f aca="false">IF($A31&gt;=K$16,IF(MONTH($A31)=MONTH(K$16),AVERAGE(E19:E30),K30),K30)</f>
        <v>25.92</v>
      </c>
      <c r="L31" s="1256" t="n">
        <f aca="false">IF($A31&gt;=L$16,IF(MONTH($A31)=MONTH(L$16),AVERAGE(F19:F30),L30),L30)</f>
        <v>1.0385</v>
      </c>
      <c r="M31" s="1215" t="n">
        <f aca="false">M30+1</f>
        <v>19</v>
      </c>
      <c r="N31" s="1252" t="n">
        <f aca="false">HLOOKUP(N$14,Dec_Change,$M31)</f>
        <v>1</v>
      </c>
      <c r="O31" s="1253" t="n">
        <f aca="false">O30</f>
        <v>1.005</v>
      </c>
      <c r="P31" s="1256" t="n">
        <f aca="false">IF(AND($A31&gt;=P$16,MONTH($A31)=MONTH(P$16)),MAX(N31,O31)*P30,P30)</f>
        <v>1</v>
      </c>
    </row>
    <row r="32" customFormat="false" ht="12.75" hidden="false" customHeight="false" outlineLevel="0" collapsed="false">
      <c r="A32" s="1254" t="n">
        <f aca="false">EDATE(A31,1)</f>
        <v>35796</v>
      </c>
      <c r="B32" s="1245" t="n">
        <f aca="false">'[3]Monthly Curve Calc.'!B35</f>
        <v>146.038</v>
      </c>
      <c r="C32" s="1246" t="n">
        <f aca="false">'[3]Monthly Curve Calc.'!C35</f>
        <v>161.6</v>
      </c>
      <c r="D32" s="1246" t="n">
        <f aca="false">'[3]Monthly Curve Calc.'!D35</f>
        <v>130.6</v>
      </c>
      <c r="E32" s="1246" t="n">
        <f aca="false">'[3]Monthly Curve Calc.'!E35</f>
        <v>16.6885</v>
      </c>
      <c r="F32" s="1247" t="n">
        <f aca="false">'[3]Monthly Curve Calc.'!F35</f>
        <v>1.1234</v>
      </c>
      <c r="G32" s="1255" t="n">
        <f aca="false">IF(AND($A32&gt;G$16,MONTH($A32)=MONTH(G$16)),B31/B19,G31)</f>
        <v>1</v>
      </c>
      <c r="H32" s="1253" t="n">
        <f aca="false">IF(AND($A32&gt;H$16,MONTH($A32)=MONTH(H$16)),C31/C19,H31)</f>
        <v>1</v>
      </c>
      <c r="I32" s="1253" t="n">
        <f aca="false">IF(AND($A32&gt;I$16,MONTH($A32)=MONTH(I$16)),C31/C19-I$18,I31)</f>
        <v>1</v>
      </c>
      <c r="J32" s="1253" t="n">
        <f aca="false">IF(AND($A32&gt;J$16,MONTH($A32)=MONTH(J$16)),D31/D19,J31)</f>
        <v>1</v>
      </c>
      <c r="K32" s="1253" t="n">
        <f aca="false">IF($A32&gt;=K$16,IF(MONTH($A32)=MONTH(K$16),AVERAGE(E20:E31),K31),K31)</f>
        <v>20.3238366666667</v>
      </c>
      <c r="L32" s="1256" t="n">
        <f aca="false">IF($A32&gt;=L$16,IF(MONTH($A32)=MONTH(L$16),AVERAGE(F20:F31),L31),L31)</f>
        <v>1.0804</v>
      </c>
      <c r="M32" s="1215" t="n">
        <f aca="false">M31+1</f>
        <v>20</v>
      </c>
      <c r="N32" s="1252" t="n">
        <f aca="false">HLOOKUP(N$14,Dec_Change,$M32)</f>
        <v>1</v>
      </c>
      <c r="O32" s="1253" t="n">
        <f aca="false">O31</f>
        <v>1.005</v>
      </c>
      <c r="P32" s="1256" t="n">
        <f aca="false">IF(AND($A32&gt;=P$16,MONTH($A32)=MONTH(P$16)),MAX(N32,O32)*P31,P31)</f>
        <v>1</v>
      </c>
    </row>
    <row r="33" customFormat="false" ht="12.75" hidden="false" customHeight="false" outlineLevel="0" collapsed="false">
      <c r="A33" s="1254" t="n">
        <f aca="false">EDATE(A32,1)</f>
        <v>35827</v>
      </c>
      <c r="B33" s="1245" t="n">
        <f aca="false">'[3]Monthly Curve Calc.'!B36</f>
        <v>146.067</v>
      </c>
      <c r="C33" s="1246" t="n">
        <f aca="false">'[3]Monthly Curve Calc.'!C36</f>
        <v>161.9</v>
      </c>
      <c r="D33" s="1246" t="n">
        <f aca="false">'[3]Monthly Curve Calc.'!D36</f>
        <v>130.5</v>
      </c>
      <c r="E33" s="1246" t="n">
        <f aca="false">'[3]Monthly Curve Calc.'!E36</f>
        <v>16.072895</v>
      </c>
      <c r="F33" s="1247" t="n">
        <f aca="false">'[3]Monthly Curve Calc.'!F36</f>
        <v>1.13</v>
      </c>
      <c r="G33" s="1255" t="n">
        <f aca="false">IF(AND($A33&gt;G$16,MONTH($A33)=MONTH(G$16)),B32/B20,G32)</f>
        <v>1</v>
      </c>
      <c r="H33" s="1253" t="n">
        <f aca="false">IF(AND($A33&gt;H$16,MONTH($A33)=MONTH(H$16)),C32/C20,H32)</f>
        <v>1</v>
      </c>
      <c r="I33" s="1253" t="n">
        <f aca="false">IF(AND($A33&gt;I$16,MONTH($A33)=MONTH(I$16)),C32/C20-I$18,I32)</f>
        <v>1</v>
      </c>
      <c r="J33" s="1253" t="n">
        <f aca="false">IF(AND($A33&gt;J$16,MONTH($A33)=MONTH(J$16)),D32/D20,J32)</f>
        <v>1</v>
      </c>
      <c r="K33" s="1253" t="n">
        <f aca="false">IF($A33&gt;=K$16,IF(MONTH($A33)=MONTH(K$16),AVERAGE(E21:E32),K32),K32)</f>
        <v>20.3238366666667</v>
      </c>
      <c r="L33" s="1256" t="n">
        <f aca="false">IF($A33&gt;=L$16,IF(MONTH($A33)=MONTH(L$16),AVERAGE(F21:F32),L32),L32)</f>
        <v>1.0804</v>
      </c>
      <c r="M33" s="1215" t="n">
        <f aca="false">M32+1</f>
        <v>21</v>
      </c>
      <c r="N33" s="1252" t="n">
        <f aca="false">HLOOKUP(N$14,Dec_Change,$M33)</f>
        <v>1</v>
      </c>
      <c r="O33" s="1253" t="n">
        <f aca="false">O32</f>
        <v>1.005</v>
      </c>
      <c r="P33" s="1256" t="n">
        <f aca="false">IF(AND($A33&gt;=P$16,MONTH($A33)=MONTH(P$16)),MAX(N33,O33)*P32,P32)</f>
        <v>1</v>
      </c>
    </row>
    <row r="34" customFormat="false" ht="12.75" hidden="false" customHeight="false" outlineLevel="0" collapsed="false">
      <c r="A34" s="1254" t="n">
        <f aca="false">EDATE(A33,1)</f>
        <v>35855</v>
      </c>
      <c r="B34" s="1245" t="n">
        <f aca="false">'[3]Monthly Curve Calc.'!B37</f>
        <v>146.406</v>
      </c>
      <c r="C34" s="1246" t="n">
        <f aca="false">'[3]Monthly Curve Calc.'!C37</f>
        <v>162.2</v>
      </c>
      <c r="D34" s="1246" t="n">
        <f aca="false">'[3]Monthly Curve Calc.'!D37</f>
        <v>130.5</v>
      </c>
      <c r="E34" s="1246" t="n">
        <f aca="false">'[3]Monthly Curve Calc.'!E37</f>
        <v>15.098635</v>
      </c>
      <c r="F34" s="1247" t="n">
        <f aca="false">'[3]Monthly Curve Calc.'!F37</f>
        <v>1.137</v>
      </c>
      <c r="G34" s="1255" t="n">
        <f aca="false">IF(AND($A34&gt;G$16,MONTH($A34)=MONTH(G$16)),B33/B21,G33)</f>
        <v>1</v>
      </c>
      <c r="H34" s="1253" t="n">
        <f aca="false">IF(AND($A34&gt;H$16,MONTH($A34)=MONTH(H$16)),C33/C21,H33)</f>
        <v>1</v>
      </c>
      <c r="I34" s="1253" t="n">
        <f aca="false">IF(AND($A34&gt;I$16,MONTH($A34)=MONTH(I$16)),C33/C21-I$18,I33)</f>
        <v>1</v>
      </c>
      <c r="J34" s="1253" t="n">
        <f aca="false">IF(AND($A34&gt;J$16,MONTH($A34)=MONTH(J$16)),D33/D21,J33)</f>
        <v>1</v>
      </c>
      <c r="K34" s="1253" t="n">
        <f aca="false">IF($A34&gt;=K$16,IF(MONTH($A34)=MONTH(K$16),AVERAGE(E22:E33),K33),K33)</f>
        <v>20.3238366666667</v>
      </c>
      <c r="L34" s="1256" t="n">
        <f aca="false">IF($A34&gt;=L$16,IF(MONTH($A34)=MONTH(L$16),AVERAGE(F22:F33),L33),L33)</f>
        <v>1.0804</v>
      </c>
      <c r="M34" s="1215" t="n">
        <f aca="false">M33+1</f>
        <v>22</v>
      </c>
      <c r="N34" s="1252" t="n">
        <f aca="false">HLOOKUP(N$14,Dec_Change,$M34)</f>
        <v>1</v>
      </c>
      <c r="O34" s="1253" t="n">
        <f aca="false">O33</f>
        <v>1.005</v>
      </c>
      <c r="P34" s="1256" t="n">
        <f aca="false">IF(AND($A34&gt;=P$16,MONTH($A34)=MONTH(P$16)),MAX(N34,O34)*P33,P33)</f>
        <v>1</v>
      </c>
    </row>
    <row r="35" customFormat="false" ht="12.75" hidden="false" customHeight="false" outlineLevel="0" collapsed="false">
      <c r="A35" s="1254" t="n">
        <f aca="false">EDATE(A34,1)</f>
        <v>35886</v>
      </c>
      <c r="B35" s="1245" t="n">
        <f aca="false">'[3]Monthly Curve Calc.'!B38</f>
        <v>146.211</v>
      </c>
      <c r="C35" s="1246" t="n">
        <f aca="false">'[3]Monthly Curve Calc.'!C38</f>
        <v>162.5</v>
      </c>
      <c r="D35" s="1246" t="n">
        <f aca="false">'[3]Monthly Curve Calc.'!D38</f>
        <v>130.7</v>
      </c>
      <c r="E35" s="1246" t="n">
        <f aca="false">'[3]Monthly Curve Calc.'!E38</f>
        <v>15.31643</v>
      </c>
      <c r="F35" s="1247" t="n">
        <f aca="false">'[3]Monthly Curve Calc.'!F38</f>
        <v>1.1443</v>
      </c>
      <c r="G35" s="1255" t="n">
        <f aca="false">IF(AND($A35&gt;G$16,MONTH($A35)=MONTH(G$16)),B34/B22,G34)</f>
        <v>1</v>
      </c>
      <c r="H35" s="1253" t="n">
        <f aca="false">IF(AND($A35&gt;H$16,MONTH($A35)=MONTH(H$16)),C34/C22,H34)</f>
        <v>1</v>
      </c>
      <c r="I35" s="1253" t="n">
        <f aca="false">IF(AND($A35&gt;I$16,MONTH($A35)=MONTH(I$16)),C34/C22-I$18,I34)</f>
        <v>1</v>
      </c>
      <c r="J35" s="1253" t="n">
        <f aca="false">IF(AND($A35&gt;J$16,MONTH($A35)=MONTH(J$16)),D34/D22,J34)</f>
        <v>1</v>
      </c>
      <c r="K35" s="1253" t="n">
        <f aca="false">IF($A35&gt;=K$16,IF(MONTH($A35)=MONTH(K$16),AVERAGE(E23:E34),K34),K34)</f>
        <v>20.3238366666667</v>
      </c>
      <c r="L35" s="1256" t="n">
        <f aca="false">IF($A35&gt;=L$16,IF(MONTH($A35)=MONTH(L$16),AVERAGE(F23:F34),L34),L34)</f>
        <v>1.0804</v>
      </c>
      <c r="M35" s="1215" t="n">
        <f aca="false">M34+1</f>
        <v>23</v>
      </c>
      <c r="N35" s="1252" t="n">
        <f aca="false">HLOOKUP(N$14,Dec_Change,$M35)</f>
        <v>1</v>
      </c>
      <c r="O35" s="1253" t="n">
        <f aca="false">O34</f>
        <v>1.005</v>
      </c>
      <c r="P35" s="1256" t="n">
        <f aca="false">IF(AND($A35&gt;=P$16,MONTH($A35)=MONTH(P$16)),MAX(N35,O35)*P34,P34)</f>
        <v>1</v>
      </c>
    </row>
    <row r="36" customFormat="false" ht="12.75" hidden="false" customHeight="false" outlineLevel="0" collapsed="false">
      <c r="A36" s="1254" t="n">
        <f aca="false">EDATE(A35,1)</f>
        <v>35916</v>
      </c>
      <c r="B36" s="1245" t="n">
        <f aca="false">'[3]Monthly Curve Calc.'!B39</f>
        <v>146.544</v>
      </c>
      <c r="C36" s="1246" t="n">
        <f aca="false">'[3]Monthly Curve Calc.'!C39</f>
        <v>162.8</v>
      </c>
      <c r="D36" s="1246" t="n">
        <f aca="false">'[3]Monthly Curve Calc.'!D39</f>
        <v>130.6</v>
      </c>
      <c r="E36" s="1246" t="n">
        <f aca="false">'[3]Monthly Curve Calc.'!E39</f>
        <v>14.92775</v>
      </c>
      <c r="F36" s="1247" t="n">
        <f aca="false">'[3]Monthly Curve Calc.'!F39</f>
        <v>1.1501</v>
      </c>
      <c r="G36" s="1255" t="n">
        <f aca="false">IF(AND($A36&gt;G$16,MONTH($A36)=MONTH(G$16)),B35/B23,G35)</f>
        <v>1.04580600399122</v>
      </c>
      <c r="H36" s="1253" t="n">
        <f aca="false">IF(AND($A36&gt;H$16,MONTH($A36)=MONTH(H$16)),C35/C23,H35)</f>
        <v>1.0143570536829</v>
      </c>
      <c r="I36" s="1253" t="n">
        <f aca="false">IF(AND($A36&gt;I$16,MONTH($A36)=MONTH(I$16)),C35/C23-I$18,I35)</f>
        <v>1.0118570536829</v>
      </c>
      <c r="J36" s="1253" t="n">
        <f aca="false">IF(AND($A36&gt;J$16,MONTH($A36)=MONTH(J$16)),D35/D23,J35)</f>
        <v>1</v>
      </c>
      <c r="K36" s="1253" t="n">
        <f aca="false">IF($A36&gt;=K$16,IF(MONTH($A36)=MONTH(K$16),AVERAGE(E24:E35),K35),K35)</f>
        <v>20.3238366666667</v>
      </c>
      <c r="L36" s="1256" t="n">
        <f aca="false">IF($A36&gt;=L$16,IF(MONTH($A36)=MONTH(L$16),AVERAGE(F24:F35),L35),L35)</f>
        <v>1.0804</v>
      </c>
      <c r="M36" s="1215" t="n">
        <f aca="false">M35+1</f>
        <v>24</v>
      </c>
      <c r="N36" s="1252" t="n">
        <f aca="false">HLOOKUP(N$14,Dec_Change,$M36)</f>
        <v>1.0143570536829</v>
      </c>
      <c r="O36" s="1253" t="n">
        <f aca="false">O35</f>
        <v>1.005</v>
      </c>
      <c r="P36" s="1256" t="n">
        <f aca="false">IF(AND($A36&gt;=P$16,MONTH($A36)=MONTH(P$16)),MAX(N36,O36)*P35,P35)</f>
        <v>1.0143570536829</v>
      </c>
    </row>
    <row r="37" customFormat="false" ht="12.75" hidden="false" customHeight="false" outlineLevel="0" collapsed="false">
      <c r="A37" s="1254" t="n">
        <f aca="false">EDATE(A36,1)</f>
        <v>35947</v>
      </c>
      <c r="B37" s="1245" t="n">
        <f aca="false">'[3]Monthly Curve Calc.'!B40</f>
        <v>146.951</v>
      </c>
      <c r="C37" s="1246" t="n">
        <f aca="false">'[3]Monthly Curve Calc.'!C40</f>
        <v>163</v>
      </c>
      <c r="D37" s="1246" t="n">
        <f aca="false">'[3]Monthly Curve Calc.'!D40</f>
        <v>130.4</v>
      </c>
      <c r="E37" s="1246" t="n">
        <f aca="false">'[3]Monthly Curve Calc.'!E40</f>
        <v>13.68614</v>
      </c>
      <c r="F37" s="1247" t="n">
        <f aca="false">'[3]Monthly Curve Calc.'!F40</f>
        <v>1.1565</v>
      </c>
      <c r="G37" s="1255" t="n">
        <f aca="false">IF(AND($A37&gt;G$16,MONTH($A37)=MONTH(G$16)),B36/B24,G36)</f>
        <v>1.04580600399122</v>
      </c>
      <c r="H37" s="1253" t="n">
        <f aca="false">IF(AND($A37&gt;H$16,MONTH($A37)=MONTH(H$16)),C36/C24,H36)</f>
        <v>1.0143570536829</v>
      </c>
      <c r="I37" s="1253" t="n">
        <f aca="false">IF(AND($A37&gt;I$16,MONTH($A37)=MONTH(I$16)),C36/C24-I$18,I36)</f>
        <v>1.0118570536829</v>
      </c>
      <c r="J37" s="1253" t="n">
        <f aca="false">IF(AND($A37&gt;J$16,MONTH($A37)=MONTH(J$16)),D36/D24,J36)</f>
        <v>1</v>
      </c>
      <c r="K37" s="1253" t="n">
        <f aca="false">IF($A37&gt;=K$16,IF(MONTH($A37)=MONTH(K$16),AVERAGE(E25:E36),K36),K36)</f>
        <v>20.3238366666667</v>
      </c>
      <c r="L37" s="1256" t="n">
        <f aca="false">IF($A37&gt;=L$16,IF(MONTH($A37)=MONTH(L$16),AVERAGE(F25:F36),L36),L36)</f>
        <v>1.0804</v>
      </c>
      <c r="M37" s="1215" t="n">
        <f aca="false">M36+1</f>
        <v>25</v>
      </c>
      <c r="N37" s="1252" t="n">
        <f aca="false">HLOOKUP(N$14,Dec_Change,$M37)</f>
        <v>1.0143570536829</v>
      </c>
      <c r="O37" s="1253" t="n">
        <f aca="false">O36</f>
        <v>1.005</v>
      </c>
      <c r="P37" s="1256" t="n">
        <f aca="false">IF(AND($A37&gt;=P$16,MONTH($A37)=MONTH(P$16)),MAX(N37,O37)*P36,P36)</f>
        <v>1.0143570536829</v>
      </c>
    </row>
    <row r="38" customFormat="false" ht="12.75" hidden="false" customHeight="false" outlineLevel="0" collapsed="false">
      <c r="A38" s="1254" t="n">
        <f aca="false">EDATE(A37,1)</f>
        <v>35977</v>
      </c>
      <c r="B38" s="1245" t="n">
        <f aca="false">'[3]Monthly Curve Calc.'!B41</f>
        <v>146.39</v>
      </c>
      <c r="C38" s="1246" t="n">
        <f aca="false">'[3]Monthly Curve Calc.'!C41</f>
        <v>163.2</v>
      </c>
      <c r="D38" s="1246" t="n">
        <f aca="false">'[3]Monthly Curve Calc.'!D41</f>
        <v>130.7</v>
      </c>
      <c r="E38" s="1246" t="n">
        <f aca="false">'[3]Monthly Curve Calc.'!E41</f>
        <v>14.26</v>
      </c>
      <c r="F38" s="1247" t="n">
        <f aca="false">'[3]Monthly Curve Calc.'!F41</f>
        <v>1.163</v>
      </c>
      <c r="G38" s="1255" t="n">
        <f aca="false">IF(AND($A38&gt;G$16,MONTH($A38)=MONTH(G$16)),B37/B25,G37)</f>
        <v>1.04580600399122</v>
      </c>
      <c r="H38" s="1253" t="n">
        <f aca="false">IF(AND($A38&gt;H$16,MONTH($A38)=MONTH(H$16)),C37/C25,H37)</f>
        <v>1.0143570536829</v>
      </c>
      <c r="I38" s="1253" t="n">
        <f aca="false">IF(AND($A38&gt;I$16,MONTH($A38)=MONTH(I$16)),C37/C25-I$18,I37)</f>
        <v>1.0118570536829</v>
      </c>
      <c r="J38" s="1253" t="n">
        <f aca="false">IF(AND($A38&gt;J$16,MONTH($A38)=MONTH(J$16)),D37/D25,J37)</f>
        <v>1</v>
      </c>
      <c r="K38" s="1253" t="n">
        <f aca="false">IF($A38&gt;=K$16,IF(MONTH($A38)=MONTH(K$16),AVERAGE(E26:E37),K37),K37)</f>
        <v>20.3238366666667</v>
      </c>
      <c r="L38" s="1256" t="n">
        <f aca="false">IF($A38&gt;=L$16,IF(MONTH($A38)=MONTH(L$16),AVERAGE(F26:F37),L37),L37)</f>
        <v>1.0804</v>
      </c>
      <c r="M38" s="1215" t="n">
        <f aca="false">M37+1</f>
        <v>26</v>
      </c>
      <c r="N38" s="1252" t="n">
        <f aca="false">HLOOKUP(N$14,Dec_Change,$M38)</f>
        <v>1.0143570536829</v>
      </c>
      <c r="O38" s="1253" t="n">
        <f aca="false">O37</f>
        <v>1.005</v>
      </c>
      <c r="P38" s="1256" t="n">
        <f aca="false">IF(AND($A38&gt;=P$16,MONTH($A38)=MONTH(P$16)),MAX(N38,O38)*P37,P37)</f>
        <v>1.0143570536829</v>
      </c>
    </row>
    <row r="39" customFormat="false" ht="12.75" hidden="false" customHeight="false" outlineLevel="0" collapsed="false">
      <c r="A39" s="1254" t="n">
        <f aca="false">EDATE(A38,1)</f>
        <v>36008</v>
      </c>
      <c r="B39" s="1245" t="n">
        <f aca="false">'[3]Monthly Curve Calc.'!B42</f>
        <v>146.144</v>
      </c>
      <c r="C39" s="1246" t="n">
        <f aca="false">'[3]Monthly Curve Calc.'!C42</f>
        <v>163.4</v>
      </c>
      <c r="D39" s="1246" t="n">
        <f aca="false">'[3]Monthly Curve Calc.'!D42</f>
        <v>130.3</v>
      </c>
      <c r="E39" s="1246" t="n">
        <f aca="false">'[3]Monthly Curve Calc.'!E42</f>
        <v>13.38</v>
      </c>
      <c r="F39" s="1247" t="n">
        <f aca="false">'[3]Monthly Curve Calc.'!F42</f>
        <v>1.1765</v>
      </c>
      <c r="G39" s="1255" t="n">
        <f aca="false">IF(AND($A39&gt;G$16,MONTH($A39)=MONTH(G$16)),B38/B26,G38)</f>
        <v>1.04580600399122</v>
      </c>
      <c r="H39" s="1253" t="n">
        <f aca="false">IF(AND($A39&gt;H$16,MONTH($A39)=MONTH(H$16)),C38/C26,H38)</f>
        <v>1.0143570536829</v>
      </c>
      <c r="I39" s="1253" t="n">
        <f aca="false">IF(AND($A39&gt;I$16,MONTH($A39)=MONTH(I$16)),C38/C26-I$18,I38)</f>
        <v>1.0118570536829</v>
      </c>
      <c r="J39" s="1253" t="n">
        <f aca="false">IF(AND($A39&gt;J$16,MONTH($A39)=MONTH(J$16)),D38/D26,J38)</f>
        <v>1</v>
      </c>
      <c r="K39" s="1253" t="n">
        <f aca="false">IF($A39&gt;=K$16,IF(MONTH($A39)=MONTH(K$16),AVERAGE(E27:E38),K38),K38)</f>
        <v>20.3238366666667</v>
      </c>
      <c r="L39" s="1256" t="n">
        <f aca="false">IF($A39&gt;=L$16,IF(MONTH($A39)=MONTH(L$16),AVERAGE(F27:F38),L38),L38)</f>
        <v>1.0804</v>
      </c>
      <c r="M39" s="1215" t="n">
        <f aca="false">M38+1</f>
        <v>27</v>
      </c>
      <c r="N39" s="1252" t="n">
        <f aca="false">HLOOKUP(N$14,Dec_Change,$M39)</f>
        <v>1.0143570536829</v>
      </c>
      <c r="O39" s="1253" t="n">
        <f aca="false">O38</f>
        <v>1.005</v>
      </c>
      <c r="P39" s="1256" t="n">
        <f aca="false">IF(AND($A39&gt;=P$16,MONTH($A39)=MONTH(P$16)),MAX(N39,O39)*P38,P38)</f>
        <v>1.0143570536829</v>
      </c>
    </row>
    <row r="40" customFormat="false" ht="12.75" hidden="false" customHeight="false" outlineLevel="0" collapsed="false">
      <c r="A40" s="1254" t="n">
        <f aca="false">EDATE(A39,1)</f>
        <v>36039</v>
      </c>
      <c r="B40" s="1245" t="n">
        <f aca="false">'[3]Monthly Curve Calc.'!B43</f>
        <v>146.111</v>
      </c>
      <c r="C40" s="1246" t="n">
        <f aca="false">'[3]Monthly Curve Calc.'!C43</f>
        <v>163.6</v>
      </c>
      <c r="D40" s="1246" t="n">
        <f aca="false">'[3]Monthly Curve Calc.'!D43</f>
        <v>130.6</v>
      </c>
      <c r="E40" s="1246" t="n">
        <f aca="false">'[3]Monthly Curve Calc.'!E43</f>
        <v>16.17</v>
      </c>
      <c r="F40" s="1247" t="n">
        <f aca="false">'[3]Monthly Curve Calc.'!F43</f>
        <v>1.1856</v>
      </c>
      <c r="G40" s="1255" t="n">
        <f aca="false">IF(AND($A40&gt;G$16,MONTH($A40)=MONTH(G$16)),B39/B27,G39)</f>
        <v>1.04580600399122</v>
      </c>
      <c r="H40" s="1253" t="n">
        <f aca="false">IF(AND($A40&gt;H$16,MONTH($A40)=MONTH(H$16)),C39/C27,H39)</f>
        <v>1.0143570536829</v>
      </c>
      <c r="I40" s="1253" t="n">
        <f aca="false">IF(AND($A40&gt;I$16,MONTH($A40)=MONTH(I$16)),C39/C27-I$18,I39)</f>
        <v>1.0118570536829</v>
      </c>
      <c r="J40" s="1253" t="n">
        <f aca="false">IF(AND($A40&gt;J$16,MONTH($A40)=MONTH(J$16)),D39/D27,J39)</f>
        <v>1</v>
      </c>
      <c r="K40" s="1253" t="n">
        <f aca="false">IF($A40&gt;=K$16,IF(MONTH($A40)=MONTH(K$16),AVERAGE(E28:E39),K39),K39)</f>
        <v>20.3238366666667</v>
      </c>
      <c r="L40" s="1256" t="n">
        <f aca="false">IF($A40&gt;=L$16,IF(MONTH($A40)=MONTH(L$16),AVERAGE(F28:F39),L39),L39)</f>
        <v>1.0804</v>
      </c>
      <c r="M40" s="1215" t="n">
        <f aca="false">M39+1</f>
        <v>28</v>
      </c>
      <c r="N40" s="1252" t="n">
        <f aca="false">HLOOKUP(N$14,Dec_Change,$M40)</f>
        <v>1.0143570536829</v>
      </c>
      <c r="O40" s="1253" t="n">
        <f aca="false">O39</f>
        <v>1.005</v>
      </c>
      <c r="P40" s="1256" t="n">
        <f aca="false">IF(AND($A40&gt;=P$16,MONTH($A40)=MONTH(P$16)),MAX(N40,O40)*P39,P39)</f>
        <v>1.0143570536829</v>
      </c>
    </row>
    <row r="41" customFormat="false" ht="12.75" hidden="false" customHeight="false" outlineLevel="0" collapsed="false">
      <c r="A41" s="1254" t="n">
        <f aca="false">EDATE(A40,1)</f>
        <v>36069</v>
      </c>
      <c r="B41" s="1245" t="n">
        <f aca="false">'[3]Monthly Curve Calc.'!B44</f>
        <v>146.063</v>
      </c>
      <c r="C41" s="1246" t="n">
        <f aca="false">'[3]Monthly Curve Calc.'!C44</f>
        <v>164</v>
      </c>
      <c r="D41" s="1246" t="n">
        <f aca="false">'[3]Monthly Curve Calc.'!D44</f>
        <v>131</v>
      </c>
      <c r="E41" s="1246" t="n">
        <f aca="false">'[3]Monthly Curve Calc.'!E44</f>
        <v>14.45</v>
      </c>
      <c r="F41" s="1247" t="n">
        <f aca="false">'[3]Monthly Curve Calc.'!F44</f>
        <v>1.1928</v>
      </c>
      <c r="G41" s="1255" t="n">
        <f aca="false">IF(AND($A41&gt;G$16,MONTH($A41)=MONTH(G$16)),B40/B28,G40)</f>
        <v>1.04580600399122</v>
      </c>
      <c r="H41" s="1253" t="n">
        <f aca="false">IF(AND($A41&gt;H$16,MONTH($A41)=MONTH(H$16)),C40/C28,H40)</f>
        <v>1.0143570536829</v>
      </c>
      <c r="I41" s="1253" t="n">
        <f aca="false">IF(AND($A41&gt;I$16,MONTH($A41)=MONTH(I$16)),C40/C28-I$18,I40)</f>
        <v>1.0118570536829</v>
      </c>
      <c r="J41" s="1253" t="n">
        <f aca="false">IF(AND($A41&gt;J$16,MONTH($A41)=MONTH(J$16)),D40/D28,J40)</f>
        <v>1</v>
      </c>
      <c r="K41" s="1253" t="n">
        <f aca="false">IF($A41&gt;=K$16,IF(MONTH($A41)=MONTH(K$16),AVERAGE(E29:E40),K40),K40)</f>
        <v>20.3238366666667</v>
      </c>
      <c r="L41" s="1256" t="n">
        <f aca="false">IF($A41&gt;=L$16,IF(MONTH($A41)=MONTH(L$16),AVERAGE(F29:F40),L40),L40)</f>
        <v>1.0804</v>
      </c>
      <c r="M41" s="1215" t="n">
        <f aca="false">M40+1</f>
        <v>29</v>
      </c>
      <c r="N41" s="1252" t="n">
        <f aca="false">HLOOKUP(N$14,Dec_Change,$M41)</f>
        <v>1.0143570536829</v>
      </c>
      <c r="O41" s="1253" t="n">
        <f aca="false">O40</f>
        <v>1.005</v>
      </c>
      <c r="P41" s="1256" t="n">
        <f aca="false">IF(AND($A41&gt;=P$16,MONTH($A41)=MONTH(P$16)),MAX(N41,O41)*P40,P40)</f>
        <v>1.0143570536829</v>
      </c>
    </row>
    <row r="42" customFormat="false" ht="12.75" hidden="false" customHeight="false" outlineLevel="0" collapsed="false">
      <c r="A42" s="1254" t="n">
        <f aca="false">EDATE(A41,1)</f>
        <v>36100</v>
      </c>
      <c r="B42" s="1245" t="n">
        <f aca="false">'[3]Monthly Curve Calc.'!B45</f>
        <v>145.797</v>
      </c>
      <c r="C42" s="1246" t="n">
        <f aca="false">'[3]Monthly Curve Calc.'!C45</f>
        <v>164</v>
      </c>
      <c r="D42" s="1246" t="n">
        <f aca="false">'[3]Monthly Curve Calc.'!D45</f>
        <v>130.7</v>
      </c>
      <c r="E42" s="1246" t="n">
        <f aca="false">'[3]Monthly Curve Calc.'!E45</f>
        <v>11.26</v>
      </c>
      <c r="F42" s="1247" t="n">
        <f aca="false">'[3]Monthly Curve Calc.'!F45</f>
        <v>1.2008</v>
      </c>
      <c r="G42" s="1255" t="n">
        <f aca="false">IF(AND($A42&gt;G$16,MONTH($A42)=MONTH(G$16)),B41/B29,G41)</f>
        <v>1.04580600399122</v>
      </c>
      <c r="H42" s="1253" t="n">
        <f aca="false">IF(AND($A42&gt;H$16,MONTH($A42)=MONTH(H$16)),C41/C29,H41)</f>
        <v>1.0143570536829</v>
      </c>
      <c r="I42" s="1253" t="n">
        <f aca="false">IF(AND($A42&gt;I$16,MONTH($A42)=MONTH(I$16)),C41/C29-I$18,I41)</f>
        <v>1.0118570536829</v>
      </c>
      <c r="J42" s="1253" t="n">
        <f aca="false">IF(AND($A42&gt;J$16,MONTH($A42)=MONTH(J$16)),D41/D29,J41)</f>
        <v>1</v>
      </c>
      <c r="K42" s="1253" t="n">
        <f aca="false">IF($A42&gt;=K$16,IF(MONTH($A42)=MONTH(K$16),AVERAGE(E30:E41),K41),K41)</f>
        <v>20.3238366666667</v>
      </c>
      <c r="L42" s="1256" t="n">
        <f aca="false">IF($A42&gt;=L$16,IF(MONTH($A42)=MONTH(L$16),AVERAGE(F30:F41),L41),L41)</f>
        <v>1.0804</v>
      </c>
      <c r="M42" s="1215" t="n">
        <f aca="false">M41+1</f>
        <v>30</v>
      </c>
      <c r="N42" s="1252" t="n">
        <f aca="false">HLOOKUP(N$14,Dec_Change,$M42)</f>
        <v>1.0143570536829</v>
      </c>
      <c r="O42" s="1253" t="n">
        <f aca="false">O41</f>
        <v>1.005</v>
      </c>
      <c r="P42" s="1256" t="n">
        <f aca="false">IF(AND($A42&gt;=P$16,MONTH($A42)=MONTH(P$16)),MAX(N42,O42)*P41,P41)</f>
        <v>1.0143570536829</v>
      </c>
    </row>
    <row r="43" customFormat="false" ht="12.75" hidden="false" customHeight="false" outlineLevel="0" collapsed="false">
      <c r="A43" s="1254" t="n">
        <f aca="false">EDATE(A42,1)</f>
        <v>36130</v>
      </c>
      <c r="B43" s="1245" t="n">
        <f aca="false">'[3]Monthly Curve Calc.'!B46</f>
        <v>147.23</v>
      </c>
      <c r="C43" s="1246" t="n">
        <f aca="false">'[3]Monthly Curve Calc.'!C46</f>
        <v>163.9</v>
      </c>
      <c r="D43" s="1246" t="n">
        <f aca="false">'[3]Monthly Curve Calc.'!D46</f>
        <v>131.3</v>
      </c>
      <c r="E43" s="1246" t="n">
        <f aca="false">'[3]Monthly Curve Calc.'!E46</f>
        <v>12.09</v>
      </c>
      <c r="F43" s="1247" t="n">
        <f aca="false">'[3]Monthly Curve Calc.'!F46</f>
        <v>1.2083</v>
      </c>
      <c r="G43" s="1255" t="n">
        <f aca="false">IF(AND($A43&gt;G$16,MONTH($A43)=MONTH(G$16)),B42/B30,G42)</f>
        <v>1.04580600399122</v>
      </c>
      <c r="H43" s="1253" t="n">
        <f aca="false">IF(AND($A43&gt;H$16,MONTH($A43)=MONTH(H$16)),C42/C30,H42)</f>
        <v>1.0143570536829</v>
      </c>
      <c r="I43" s="1253" t="n">
        <f aca="false">IF(AND($A43&gt;I$16,MONTH($A43)=MONTH(I$16)),C42/C30-I$18,I42)</f>
        <v>1.0118570536829</v>
      </c>
      <c r="J43" s="1253" t="n">
        <f aca="false">IF(AND($A43&gt;J$16,MONTH($A43)=MONTH(J$16)),D42/D30,J42)</f>
        <v>1</v>
      </c>
      <c r="K43" s="1253" t="n">
        <f aca="false">IF($A43&gt;=K$16,IF(MONTH($A43)=MONTH(K$16),AVERAGE(E31:E42),K42),K42)</f>
        <v>20.3238366666667</v>
      </c>
      <c r="L43" s="1256" t="n">
        <f aca="false">IF($A43&gt;=L$16,IF(MONTH($A43)=MONTH(L$16),AVERAGE(F31:F42),L42),L42)</f>
        <v>1.0804</v>
      </c>
      <c r="M43" s="1215" t="n">
        <f aca="false">M42+1</f>
        <v>31</v>
      </c>
      <c r="N43" s="1252" t="n">
        <f aca="false">HLOOKUP(N$14,Dec_Change,$M43)</f>
        <v>1.0143570536829</v>
      </c>
      <c r="O43" s="1253" t="n">
        <f aca="false">O42</f>
        <v>1.005</v>
      </c>
      <c r="P43" s="1256" t="n">
        <f aca="false">IF(AND($A43&gt;=P$16,MONTH($A43)=MONTH(P$16)),MAX(N43,O43)*P42,P42)</f>
        <v>1.0143570536829</v>
      </c>
    </row>
    <row r="44" customFormat="false" ht="12.75" hidden="false" customHeight="false" outlineLevel="0" collapsed="false">
      <c r="A44" s="1254" t="n">
        <f aca="false">EDATE(A43,1)</f>
        <v>36161</v>
      </c>
      <c r="B44" s="1245" t="n">
        <f aca="false">'[3]Monthly Curve Calc.'!B47</f>
        <v>148.92</v>
      </c>
      <c r="C44" s="1246" t="n">
        <f aca="false">'[3]Monthly Curve Calc.'!C47</f>
        <v>164.3</v>
      </c>
      <c r="D44" s="1246" t="n">
        <f aca="false">'[3]Monthly Curve Calc.'!D47</f>
        <v>131.7</v>
      </c>
      <c r="E44" s="1246" t="n">
        <f aca="false">'[3]Monthly Curve Calc.'!E47</f>
        <v>12.76</v>
      </c>
      <c r="F44" s="1247" t="n">
        <f aca="false">'[3]Monthly Curve Calc.'!F47</f>
        <v>2.05</v>
      </c>
      <c r="G44" s="1255" t="n">
        <f aca="false">IF(AND($A44&gt;G$16,MONTH($A44)=MONTH(G$16)),B43/B31,G43)</f>
        <v>1.04580600399122</v>
      </c>
      <c r="H44" s="1253" t="n">
        <f aca="false">IF(AND($A44&gt;H$16,MONTH($A44)=MONTH(H$16)),C43/C31,H43)</f>
        <v>1.0143570536829</v>
      </c>
      <c r="I44" s="1253" t="n">
        <f aca="false">IF(AND($A44&gt;I$16,MONTH($A44)=MONTH(I$16)),C43/C31-I$18,I43)</f>
        <v>1.0118570536829</v>
      </c>
      <c r="J44" s="1253" t="n">
        <f aca="false">IF(AND($A44&gt;J$16,MONTH($A44)=MONTH(J$16)),D43/D31,J43)</f>
        <v>0.99923896499239</v>
      </c>
      <c r="K44" s="1253" t="n">
        <f aca="false">IF($A44&gt;=K$16,IF(MONTH($A44)=MONTH(K$16),AVERAGE(E32:E43),K43),K43)</f>
        <v>14.4500291666667</v>
      </c>
      <c r="L44" s="1256" t="n">
        <f aca="false">IF($A44&gt;=L$16,IF(MONTH($A44)=MONTH(L$16),AVERAGE(F32:F43),L43),L43)</f>
        <v>1.164025</v>
      </c>
      <c r="M44" s="1215" t="n">
        <f aca="false">M43+1</f>
        <v>32</v>
      </c>
      <c r="N44" s="1252" t="n">
        <f aca="false">HLOOKUP(N$14,Dec_Change,$M44)</f>
        <v>1.0143570536829</v>
      </c>
      <c r="O44" s="1253" t="n">
        <f aca="false">O43</f>
        <v>1.005</v>
      </c>
      <c r="P44" s="1256" t="n">
        <f aca="false">IF(AND($A44&gt;=P$16,MONTH($A44)=MONTH(P$16)),MAX(N44,O44)*P43,P43)</f>
        <v>1.0143570536829</v>
      </c>
    </row>
    <row r="45" customFormat="false" ht="12.75" hidden="false" customHeight="false" outlineLevel="0" collapsed="false">
      <c r="A45" s="1254" t="n">
        <f aca="false">EDATE(A44,1)</f>
        <v>36192</v>
      </c>
      <c r="B45" s="1245" t="n">
        <f aca="false">'[3]Monthly Curve Calc.'!B48</f>
        <v>155.53</v>
      </c>
      <c r="C45" s="1246" t="n">
        <f aca="false">'[3]Monthly Curve Calc.'!C48</f>
        <v>164.5</v>
      </c>
      <c r="D45" s="1246" t="n">
        <f aca="false">'[3]Monthly Curve Calc.'!D48</f>
        <v>131.1</v>
      </c>
      <c r="E45" s="1246" t="n">
        <f aca="false">'[3]Monthly Curve Calc.'!E48</f>
        <v>12.28</v>
      </c>
      <c r="F45" s="1247" t="n">
        <f aca="false">'[3]Monthly Curve Calc.'!F48</f>
        <v>2.035</v>
      </c>
      <c r="G45" s="1255" t="n">
        <f aca="false">IF(AND($A45&gt;G$16,MONTH($A45)=MONTH(G$16)),B44/B32,G44)</f>
        <v>1.04580600399122</v>
      </c>
      <c r="H45" s="1253" t="n">
        <f aca="false">IF(AND($A45&gt;H$16,MONTH($A45)=MONTH(H$16)),C44/C32,H44)</f>
        <v>1.0143570536829</v>
      </c>
      <c r="I45" s="1253" t="n">
        <f aca="false">IF(AND($A45&gt;I$16,MONTH($A45)=MONTH(I$16)),C44/C32-I$18,I44)</f>
        <v>1.0118570536829</v>
      </c>
      <c r="J45" s="1253" t="n">
        <f aca="false">IF(AND($A45&gt;J$16,MONTH($A45)=MONTH(J$16)),D44/D32,J44)</f>
        <v>0.99923896499239</v>
      </c>
      <c r="K45" s="1253" t="n">
        <f aca="false">IF($A45&gt;=K$16,IF(MONTH($A45)=MONTH(K$16),AVERAGE(E33:E44),K44),K44)</f>
        <v>14.4500291666667</v>
      </c>
      <c r="L45" s="1256" t="n">
        <f aca="false">IF($A45&gt;=L$16,IF(MONTH($A45)=MONTH(L$16),AVERAGE(F33:F44),L44),L44)</f>
        <v>1.164025</v>
      </c>
      <c r="M45" s="1215" t="n">
        <f aca="false">M44+1</f>
        <v>33</v>
      </c>
      <c r="N45" s="1252" t="n">
        <f aca="false">HLOOKUP(N$14,Dec_Change,$M45)</f>
        <v>1.0143570536829</v>
      </c>
      <c r="O45" s="1253" t="n">
        <f aca="false">O44</f>
        <v>1.005</v>
      </c>
      <c r="P45" s="1256" t="n">
        <f aca="false">IF(AND($A45&gt;=P$16,MONTH($A45)=MONTH(P$16)),MAX(N45,O45)*P44,P44)</f>
        <v>1.0143570536829</v>
      </c>
    </row>
    <row r="46" customFormat="false" ht="12.75" hidden="false" customHeight="false" outlineLevel="0" collapsed="false">
      <c r="A46" s="1254" t="n">
        <f aca="false">EDATE(A45,1)</f>
        <v>36220</v>
      </c>
      <c r="B46" s="1245" t="n">
        <f aca="false">'[3]Monthly Curve Calc.'!B49</f>
        <v>158.6</v>
      </c>
      <c r="C46" s="1246" t="n">
        <f aca="false">'[3]Monthly Curve Calc.'!C49</f>
        <v>165</v>
      </c>
      <c r="D46" s="1246" t="n">
        <f aca="false">'[3]Monthly Curve Calc.'!D49</f>
        <v>131.5</v>
      </c>
      <c r="E46" s="1246" t="n">
        <f aca="false">'[3]Monthly Curve Calc.'!E49</f>
        <v>16.76</v>
      </c>
      <c r="F46" s="1247" t="n">
        <f aca="false">'[3]Monthly Curve Calc.'!F49</f>
        <v>1.7175</v>
      </c>
      <c r="G46" s="1255" t="n">
        <f aca="false">IF(AND($A46&gt;G$16,MONTH($A46)=MONTH(G$16)),B45/B33,G45)</f>
        <v>1.04580600399122</v>
      </c>
      <c r="H46" s="1253" t="n">
        <f aca="false">IF(AND($A46&gt;H$16,MONTH($A46)=MONTH(H$16)),C45/C33,H45)</f>
        <v>1.0143570536829</v>
      </c>
      <c r="I46" s="1253" t="n">
        <f aca="false">IF(AND($A46&gt;I$16,MONTH($A46)=MONTH(I$16)),C45/C33-I$18,I45)</f>
        <v>1.0118570536829</v>
      </c>
      <c r="J46" s="1253" t="n">
        <f aca="false">IF(AND($A46&gt;J$16,MONTH($A46)=MONTH(J$16)),D45/D33,J45)</f>
        <v>0.99923896499239</v>
      </c>
      <c r="K46" s="1253" t="n">
        <f aca="false">IF($A46&gt;=K$16,IF(MONTH($A46)=MONTH(K$16),AVERAGE(E34:E45),K45),K45)</f>
        <v>14.4500291666667</v>
      </c>
      <c r="L46" s="1256" t="n">
        <f aca="false">IF($A46&gt;=L$16,IF(MONTH($A46)=MONTH(L$16),AVERAGE(F34:F45),L45),L45)</f>
        <v>1.164025</v>
      </c>
      <c r="M46" s="1215" t="n">
        <f aca="false">M45+1</f>
        <v>34</v>
      </c>
      <c r="N46" s="1252" t="n">
        <f aca="false">HLOOKUP(N$14,Dec_Change,$M46)</f>
        <v>1.0143570536829</v>
      </c>
      <c r="O46" s="1253" t="n">
        <f aca="false">O45</f>
        <v>1.005</v>
      </c>
      <c r="P46" s="1256" t="n">
        <f aca="false">IF(AND($A46&gt;=P$16,MONTH($A46)=MONTH(P$16)),MAX(N46,O46)*P45,P45)</f>
        <v>1.0143570536829</v>
      </c>
    </row>
    <row r="47" customFormat="false" ht="12.75" hidden="false" customHeight="false" outlineLevel="0" collapsed="false">
      <c r="A47" s="1254" t="n">
        <f aca="false">EDATE(A46,1)</f>
        <v>36251</v>
      </c>
      <c r="B47" s="1245" t="n">
        <f aca="false">'[3]Monthly Curve Calc.'!B50</f>
        <v>158.65</v>
      </c>
      <c r="C47" s="1246" t="n">
        <f aca="false">'[3]Monthly Curve Calc.'!C50</f>
        <v>166.2</v>
      </c>
      <c r="D47" s="1246" t="n">
        <f aca="false">'[3]Monthly Curve Calc.'!D50</f>
        <v>132.2</v>
      </c>
      <c r="E47" s="1246" t="n">
        <f aca="false">'[3]Monthly Curve Calc.'!E50</f>
        <v>18.66</v>
      </c>
      <c r="F47" s="1247" t="n">
        <f aca="false">'[3]Monthly Curve Calc.'!F50</f>
        <v>1.665</v>
      </c>
      <c r="G47" s="1255" t="n">
        <f aca="false">IF(AND($A47&gt;G$16,MONTH($A47)=MONTH(G$16)),B46/B34,G46)</f>
        <v>1.04580600399122</v>
      </c>
      <c r="H47" s="1253" t="n">
        <f aca="false">IF(AND($A47&gt;H$16,MONTH($A47)=MONTH(H$16)),C46/C34,H46)</f>
        <v>1.0143570536829</v>
      </c>
      <c r="I47" s="1253" t="n">
        <f aca="false">IF(AND($A47&gt;I$16,MONTH($A47)=MONTH(I$16)),C46/C34-I$18,I46)</f>
        <v>1.0118570536829</v>
      </c>
      <c r="J47" s="1253" t="n">
        <f aca="false">IF(AND($A47&gt;J$16,MONTH($A47)=MONTH(J$16)),D46/D34,J46)</f>
        <v>0.99923896499239</v>
      </c>
      <c r="K47" s="1253" t="n">
        <f aca="false">IF($A47&gt;=K$16,IF(MONTH($A47)=MONTH(K$16),AVERAGE(E35:E46),K46),K46)</f>
        <v>14.4500291666667</v>
      </c>
      <c r="L47" s="1256" t="n">
        <f aca="false">IF($A47&gt;=L$16,IF(MONTH($A47)=MONTH(L$16),AVERAGE(F35:F46),L46),L46)</f>
        <v>1.164025</v>
      </c>
      <c r="M47" s="1215" t="n">
        <f aca="false">M46+1</f>
        <v>35</v>
      </c>
      <c r="N47" s="1252" t="n">
        <f aca="false">HLOOKUP(N$14,Dec_Change,$M47)</f>
        <v>1.0143570536829</v>
      </c>
      <c r="O47" s="1253" t="n">
        <f aca="false">O46</f>
        <v>1.005</v>
      </c>
      <c r="P47" s="1256" t="n">
        <f aca="false">IF(AND($A47&gt;=P$16,MONTH($A47)=MONTH(P$16)),MAX(N47,O47)*P46,P46)</f>
        <v>1.0143570536829</v>
      </c>
    </row>
    <row r="48" customFormat="false" ht="12.75" hidden="false" customHeight="false" outlineLevel="0" collapsed="false">
      <c r="A48" s="1254" t="n">
        <f aca="false">EDATE(A47,1)</f>
        <v>36281</v>
      </c>
      <c r="B48" s="1245" t="n">
        <f aca="false">'[3]Monthly Curve Calc.'!B51</f>
        <v>158.1</v>
      </c>
      <c r="C48" s="1246" t="n">
        <f aca="false">'[3]Monthly Curve Calc.'!C51</f>
        <v>166.2</v>
      </c>
      <c r="D48" s="1246" t="n">
        <f aca="false">'[3]Monthly Curve Calc.'!D51</f>
        <v>132.4</v>
      </c>
      <c r="E48" s="1246" t="n">
        <f aca="false">'[3]Monthly Curve Calc.'!E51</f>
        <v>16.84</v>
      </c>
      <c r="F48" s="1247" t="n">
        <f aca="false">'[3]Monthly Curve Calc.'!F51</f>
        <v>1.721</v>
      </c>
      <c r="G48" s="1255" t="n">
        <f aca="false">IF(AND($A48&gt;G$16,MONTH($A48)=MONTH(G$16)),B47/B35,G47)</f>
        <v>1.08507567830054</v>
      </c>
      <c r="H48" s="1253" t="n">
        <f aca="false">IF(AND($A48&gt;H$16,MONTH($A48)=MONTH(H$16)),C47/C35,H47)</f>
        <v>1.02276923076923</v>
      </c>
      <c r="I48" s="1253" t="n">
        <f aca="false">IF(AND($A48&gt;I$16,MONTH($A48)=MONTH(I$16)),C47/C35-I$18,I47)</f>
        <v>1.02026923076923</v>
      </c>
      <c r="J48" s="1253" t="n">
        <f aca="false">IF(AND($A48&gt;J$16,MONTH($A48)=MONTH(J$16)),D47/D35,J47)</f>
        <v>0.99923896499239</v>
      </c>
      <c r="K48" s="1253" t="n">
        <f aca="false">IF($A48&gt;=K$16,IF(MONTH($A48)=MONTH(K$16),AVERAGE(E36:E47),K47),K47)</f>
        <v>14.4500291666667</v>
      </c>
      <c r="L48" s="1256" t="n">
        <f aca="false">IF($A48&gt;=L$16,IF(MONTH($A48)=MONTH(L$16),AVERAGE(F36:F47),L47),L47)</f>
        <v>1.164025</v>
      </c>
      <c r="M48" s="1215" t="n">
        <f aca="false">M47+1</f>
        <v>36</v>
      </c>
      <c r="N48" s="1252" t="n">
        <f aca="false">HLOOKUP(N$14,Dec_Change,$M48)</f>
        <v>1.02276923076923</v>
      </c>
      <c r="O48" s="1253" t="n">
        <f aca="false">O47</f>
        <v>1.005</v>
      </c>
      <c r="P48" s="1256" t="n">
        <f aca="false">IF(AND($A48&gt;=P$16,MONTH($A48)=MONTH(P$16)),MAX(N48,O48)*P47,P47)</f>
        <v>1.0374531835206</v>
      </c>
    </row>
    <row r="49" customFormat="false" ht="12.75" hidden="false" customHeight="false" outlineLevel="0" collapsed="false">
      <c r="A49" s="1254" t="n">
        <f aca="false">EDATE(A48,1)</f>
        <v>36312</v>
      </c>
      <c r="B49" s="1245" t="n">
        <f aca="false">'[3]Monthly Curve Calc.'!B52</f>
        <v>159.71</v>
      </c>
      <c r="C49" s="1246" t="n">
        <f aca="false">'[3]Monthly Curve Calc.'!C52</f>
        <v>166.2</v>
      </c>
      <c r="D49" s="1246" t="n">
        <f aca="false">'[3]Monthly Curve Calc.'!D52</f>
        <v>132.3</v>
      </c>
      <c r="E49" s="1246" t="n">
        <f aca="false">'[3]Monthly Curve Calc.'!E52</f>
        <v>19.29</v>
      </c>
      <c r="F49" s="1247" t="n">
        <f aca="false">'[3]Monthly Curve Calc.'!F52</f>
        <v>1.7525</v>
      </c>
      <c r="G49" s="1255" t="n">
        <f aca="false">IF(AND($A49&gt;G$16,MONTH($A49)=MONTH(G$16)),B48/B36,G48)</f>
        <v>1.08507567830054</v>
      </c>
      <c r="H49" s="1253" t="n">
        <f aca="false">IF(AND($A49&gt;H$16,MONTH($A49)=MONTH(H$16)),C48/C36,H48)</f>
        <v>1.02276923076923</v>
      </c>
      <c r="I49" s="1253" t="n">
        <f aca="false">IF(AND($A49&gt;I$16,MONTH($A49)=MONTH(I$16)),C48/C36-I$18,I48)</f>
        <v>1.02026923076923</v>
      </c>
      <c r="J49" s="1253" t="n">
        <f aca="false">IF(AND($A49&gt;J$16,MONTH($A49)=MONTH(J$16)),D48/D36,J48)</f>
        <v>0.99923896499239</v>
      </c>
      <c r="K49" s="1253" t="n">
        <f aca="false">IF($A49&gt;=K$16,IF(MONTH($A49)=MONTH(K$16),AVERAGE(E37:E48),K48),K48)</f>
        <v>14.4500291666667</v>
      </c>
      <c r="L49" s="1256" t="n">
        <f aca="false">IF($A49&gt;=L$16,IF(MONTH($A49)=MONTH(L$16),AVERAGE(F37:F48),L48),L48)</f>
        <v>1.164025</v>
      </c>
      <c r="M49" s="1215" t="n">
        <f aca="false">M48+1</f>
        <v>37</v>
      </c>
      <c r="N49" s="1252" t="n">
        <f aca="false">HLOOKUP(N$14,Dec_Change,$M49)</f>
        <v>1.02276923076923</v>
      </c>
      <c r="O49" s="1253" t="n">
        <f aca="false">O48</f>
        <v>1.005</v>
      </c>
      <c r="P49" s="1256" t="n">
        <f aca="false">IF(AND($A49&gt;=P$16,MONTH($A49)=MONTH(P$16)),MAX(N49,O49)*P48,P48)</f>
        <v>1.0374531835206</v>
      </c>
    </row>
    <row r="50" customFormat="false" ht="12.75" hidden="false" customHeight="false" outlineLevel="0" collapsed="false">
      <c r="A50" s="1254" t="n">
        <f aca="false">EDATE(A49,1)</f>
        <v>36342</v>
      </c>
      <c r="B50" s="1245" t="n">
        <f aca="false">'[3]Monthly Curve Calc.'!B53</f>
        <v>162.25</v>
      </c>
      <c r="C50" s="1246" t="n">
        <f aca="false">'[3]Monthly Curve Calc.'!C53</f>
        <v>166.7</v>
      </c>
      <c r="D50" s="1246" t="n">
        <f aca="false">'[3]Monthly Curve Calc.'!D53</f>
        <v>132.6</v>
      </c>
      <c r="E50" s="1246" t="n">
        <f aca="false">'[3]Monthly Curve Calc.'!E53</f>
        <v>20.53</v>
      </c>
      <c r="F50" s="1247" t="n">
        <f aca="false">'[3]Monthly Curve Calc.'!F53</f>
        <v>1.801</v>
      </c>
      <c r="G50" s="1255" t="n">
        <f aca="false">IF(AND($A50&gt;G$16,MONTH($A50)=MONTH(G$16)),B49/B37,G49)</f>
        <v>1.08507567830054</v>
      </c>
      <c r="H50" s="1253" t="n">
        <f aca="false">IF(AND($A50&gt;H$16,MONTH($A50)=MONTH(H$16)),C49/C37,H49)</f>
        <v>1.02276923076923</v>
      </c>
      <c r="I50" s="1253" t="n">
        <f aca="false">IF(AND($A50&gt;I$16,MONTH($A50)=MONTH(I$16)),C49/C37-I$18,I49)</f>
        <v>1.02026923076923</v>
      </c>
      <c r="J50" s="1253" t="n">
        <f aca="false">IF(AND($A50&gt;J$16,MONTH($A50)=MONTH(J$16)),D49/D37,J49)</f>
        <v>0.99923896499239</v>
      </c>
      <c r="K50" s="1253" t="n">
        <f aca="false">IF($A50&gt;=K$16,IF(MONTH($A50)=MONTH(K$16),AVERAGE(E38:E49),K49),K49)</f>
        <v>14.4500291666667</v>
      </c>
      <c r="L50" s="1256" t="n">
        <f aca="false">IF($A50&gt;=L$16,IF(MONTH($A50)=MONTH(L$16),AVERAGE(F38:F49),L49),L49)</f>
        <v>1.164025</v>
      </c>
      <c r="M50" s="1215" t="n">
        <f aca="false">M49+1</f>
        <v>38</v>
      </c>
      <c r="N50" s="1252" t="n">
        <f aca="false">HLOOKUP(N$14,Dec_Change,$M50)</f>
        <v>1.02276923076923</v>
      </c>
      <c r="O50" s="1253" t="n">
        <f aca="false">O49</f>
        <v>1.005</v>
      </c>
      <c r="P50" s="1256" t="n">
        <f aca="false">IF(AND($A50&gt;=P$16,MONTH($A50)=MONTH(P$16)),MAX(N50,O50)*P49,P49)</f>
        <v>1.0374531835206</v>
      </c>
    </row>
    <row r="51" customFormat="false" ht="12.75" hidden="false" customHeight="false" outlineLevel="0" collapsed="false">
      <c r="A51" s="1254" t="n">
        <f aca="false">EDATE(A50,1)</f>
        <v>36373</v>
      </c>
      <c r="B51" s="1245" t="n">
        <f aca="false">'[3]Monthly Curve Calc.'!B54</f>
        <v>164.61</v>
      </c>
      <c r="C51" s="1246" t="n">
        <f aca="false">'[3]Monthly Curve Calc.'!C54</f>
        <v>167.1</v>
      </c>
      <c r="D51" s="1246" t="n">
        <f aca="false">'[3]Monthly Curve Calc.'!D54</f>
        <v>133.4</v>
      </c>
      <c r="E51" s="1246" t="n">
        <f aca="false">'[3]Monthly Curve Calc.'!E54</f>
        <v>22.11</v>
      </c>
      <c r="F51" s="1247" t="n">
        <f aca="false">'[3]Monthly Curve Calc.'!F54</f>
        <v>1.919</v>
      </c>
      <c r="G51" s="1255" t="n">
        <f aca="false">IF(AND($A51&gt;G$16,MONTH($A51)=MONTH(G$16)),B50/B38,G50)</f>
        <v>1.08507567830054</v>
      </c>
      <c r="H51" s="1253" t="n">
        <f aca="false">IF(AND($A51&gt;H$16,MONTH($A51)=MONTH(H$16)),C50/C38,H50)</f>
        <v>1.02276923076923</v>
      </c>
      <c r="I51" s="1253" t="n">
        <f aca="false">IF(AND($A51&gt;I$16,MONTH($A51)=MONTH(I$16)),C50/C38-I$18,I50)</f>
        <v>1.02026923076923</v>
      </c>
      <c r="J51" s="1253" t="n">
        <f aca="false">IF(AND($A51&gt;J$16,MONTH($A51)=MONTH(J$16)),D50/D38,J50)</f>
        <v>0.99923896499239</v>
      </c>
      <c r="K51" s="1253" t="n">
        <f aca="false">IF($A51&gt;=K$16,IF(MONTH($A51)=MONTH(K$16),AVERAGE(E39:E50),K50),K50)</f>
        <v>14.4500291666667</v>
      </c>
      <c r="L51" s="1256" t="n">
        <f aca="false">IF($A51&gt;=L$16,IF(MONTH($A51)=MONTH(L$16),AVERAGE(F39:F50),L50),L50)</f>
        <v>1.164025</v>
      </c>
      <c r="M51" s="1215" t="n">
        <f aca="false">M50+1</f>
        <v>39</v>
      </c>
      <c r="N51" s="1252" t="n">
        <f aca="false">HLOOKUP(N$14,Dec_Change,$M51)</f>
        <v>1.02276923076923</v>
      </c>
      <c r="O51" s="1253" t="n">
        <f aca="false">O50</f>
        <v>1.005</v>
      </c>
      <c r="P51" s="1256" t="n">
        <f aca="false">IF(AND($A51&gt;=P$16,MONTH($A51)=MONTH(P$16)),MAX(N51,O51)*P50,P50)</f>
        <v>1.0374531835206</v>
      </c>
    </row>
    <row r="52" customFormat="false" ht="12.75" hidden="false" customHeight="false" outlineLevel="0" collapsed="false">
      <c r="A52" s="1254" t="n">
        <f aca="false">EDATE(A51,1)</f>
        <v>36404</v>
      </c>
      <c r="B52" s="1245" t="n">
        <f aca="false">'[3]Monthly Curve Calc.'!B55</f>
        <v>167.03</v>
      </c>
      <c r="C52" s="1246" t="n">
        <f aca="false">'[3]Monthly Curve Calc.'!C55</f>
        <v>167.9</v>
      </c>
      <c r="D52" s="1246" t="n">
        <f aca="false">'[3]Monthly Curve Calc.'!D55</f>
        <v>134.7</v>
      </c>
      <c r="E52" s="1246" t="n">
        <f aca="false">'[3]Monthly Curve Calc.'!E55</f>
        <v>24.51</v>
      </c>
      <c r="F52" s="1247" t="n">
        <f aca="false">'[3]Monthly Curve Calc.'!F55</f>
        <v>1.9375</v>
      </c>
      <c r="G52" s="1255" t="n">
        <f aca="false">IF(AND($A52&gt;G$16,MONTH($A52)=MONTH(G$16)),B51/B39,G51)</f>
        <v>1.08507567830054</v>
      </c>
      <c r="H52" s="1253" t="n">
        <f aca="false">IF(AND($A52&gt;H$16,MONTH($A52)=MONTH(H$16)),C51/C39,H51)</f>
        <v>1.02276923076923</v>
      </c>
      <c r="I52" s="1253" t="n">
        <f aca="false">IF(AND($A52&gt;I$16,MONTH($A52)=MONTH(I$16)),C51/C39-I$18,I51)</f>
        <v>1.02026923076923</v>
      </c>
      <c r="J52" s="1253" t="n">
        <f aca="false">IF(AND($A52&gt;J$16,MONTH($A52)=MONTH(J$16)),D51/D39,J51)</f>
        <v>0.99923896499239</v>
      </c>
      <c r="K52" s="1253" t="n">
        <f aca="false">IF($A52&gt;=K$16,IF(MONTH($A52)=MONTH(K$16),AVERAGE(E40:E51),K51),K51)</f>
        <v>14.4500291666667</v>
      </c>
      <c r="L52" s="1256" t="n">
        <f aca="false">IF($A52&gt;=L$16,IF(MONTH($A52)=MONTH(L$16),AVERAGE(F40:F51),L51),L51)</f>
        <v>1.164025</v>
      </c>
      <c r="M52" s="1215" t="n">
        <f aca="false">M51+1</f>
        <v>40</v>
      </c>
      <c r="N52" s="1252" t="n">
        <f aca="false">HLOOKUP(N$14,Dec_Change,$M52)</f>
        <v>1.02276923076923</v>
      </c>
      <c r="O52" s="1253" t="n">
        <f aca="false">O51</f>
        <v>1.005</v>
      </c>
      <c r="P52" s="1256" t="n">
        <f aca="false">IF(AND($A52&gt;=P$16,MONTH($A52)=MONTH(P$16)),MAX(N52,O52)*P51,P51)</f>
        <v>1.0374531835206</v>
      </c>
    </row>
    <row r="53" customFormat="false" ht="12.75" hidden="false" customHeight="false" outlineLevel="0" collapsed="false">
      <c r="A53" s="1254" t="n">
        <f aca="false">EDATE(A52,1)</f>
        <v>36434</v>
      </c>
      <c r="B53" s="1245" t="n">
        <f aca="false">'[3]Monthly Curve Calc.'!B56</f>
        <v>170.18</v>
      </c>
      <c r="C53" s="1246" t="n">
        <f aca="false">'[3]Monthly Curve Calc.'!C56</f>
        <v>168.2</v>
      </c>
      <c r="D53" s="1246" t="n">
        <f aca="false">'[3]Monthly Curve Calc.'!D56</f>
        <v>134.5</v>
      </c>
      <c r="E53" s="1246" t="n">
        <f aca="false">'[3]Monthly Curve Calc.'!E56</f>
        <v>21.75</v>
      </c>
      <c r="F53" s="1247" t="n">
        <f aca="false">'[3]Monthly Curve Calc.'!F56</f>
        <v>1.949</v>
      </c>
      <c r="G53" s="1255" t="n">
        <f aca="false">IF(AND($A53&gt;G$16,MONTH($A53)=MONTH(G$16)),B52/B40,G52)</f>
        <v>1.08507567830054</v>
      </c>
      <c r="H53" s="1253" t="n">
        <f aca="false">IF(AND($A53&gt;H$16,MONTH($A53)=MONTH(H$16)),C52/C40,H52)</f>
        <v>1.02276923076923</v>
      </c>
      <c r="I53" s="1253" t="n">
        <f aca="false">IF(AND($A53&gt;I$16,MONTH($A53)=MONTH(I$16)),C52/C40-I$18,I52)</f>
        <v>1.02026923076923</v>
      </c>
      <c r="J53" s="1253" t="n">
        <f aca="false">IF(AND($A53&gt;J$16,MONTH($A53)=MONTH(J$16)),D52/D40,J52)</f>
        <v>0.99923896499239</v>
      </c>
      <c r="K53" s="1253" t="n">
        <f aca="false">IF($A53&gt;=K$16,IF(MONTH($A53)=MONTH(K$16),AVERAGE(E41:E52),K52),K52)</f>
        <v>14.4500291666667</v>
      </c>
      <c r="L53" s="1256" t="n">
        <f aca="false">IF($A53&gt;=L$16,IF(MONTH($A53)=MONTH(L$16),AVERAGE(F41:F52),L52),L52)</f>
        <v>1.164025</v>
      </c>
      <c r="M53" s="1215" t="n">
        <f aca="false">M52+1</f>
        <v>41</v>
      </c>
      <c r="N53" s="1252" t="n">
        <f aca="false">HLOOKUP(N$14,Dec_Change,$M53)</f>
        <v>1.02276923076923</v>
      </c>
      <c r="O53" s="1253" t="n">
        <f aca="false">O52</f>
        <v>1.005</v>
      </c>
      <c r="P53" s="1256" t="n">
        <f aca="false">IF(AND($A53&gt;=P$16,MONTH($A53)=MONTH(P$16)),MAX(N53,O53)*P52,P52)</f>
        <v>1.0374531835206</v>
      </c>
    </row>
    <row r="54" customFormat="false" ht="12.75" hidden="false" customHeight="false" outlineLevel="0" collapsed="false">
      <c r="A54" s="1254" t="n">
        <f aca="false">EDATE(A53,1)</f>
        <v>36465</v>
      </c>
      <c r="B54" s="1245" t="n">
        <f aca="false">'[3]Monthly Curve Calc.'!B57</f>
        <v>174.5</v>
      </c>
      <c r="C54" s="1246" t="n">
        <f aca="false">'[3]Monthly Curve Calc.'!C57</f>
        <v>168.3</v>
      </c>
      <c r="D54" s="1246" t="n">
        <f aca="false">'[3]Monthly Curve Calc.'!D57</f>
        <v>134.8</v>
      </c>
      <c r="E54" s="1246" t="n">
        <f aca="false">'[3]Monthly Curve Calc.'!E57</f>
        <v>24.59</v>
      </c>
      <c r="F54" s="1247" t="n">
        <f aca="false">'[3]Monthly Curve Calc.'!F57</f>
        <v>1.923</v>
      </c>
      <c r="G54" s="1255" t="n">
        <f aca="false">IF(AND($A54&gt;G$16,MONTH($A54)=MONTH(G$16)),B53/B41,G53)</f>
        <v>1.08507567830054</v>
      </c>
      <c r="H54" s="1253" t="n">
        <f aca="false">IF(AND($A54&gt;H$16,MONTH($A54)=MONTH(H$16)),C53/C41,H53)</f>
        <v>1.02276923076923</v>
      </c>
      <c r="I54" s="1253" t="n">
        <f aca="false">IF(AND($A54&gt;I$16,MONTH($A54)=MONTH(I$16)),C53/C41-I$18,I53)</f>
        <v>1.02026923076923</v>
      </c>
      <c r="J54" s="1253" t="n">
        <f aca="false">IF(AND($A54&gt;J$16,MONTH($A54)=MONTH(J$16)),D53/D41,J53)</f>
        <v>0.99923896499239</v>
      </c>
      <c r="K54" s="1253" t="n">
        <f aca="false">IF($A54&gt;=K$16,IF(MONTH($A54)=MONTH(K$16),AVERAGE(E42:E53),K53),K53)</f>
        <v>14.4500291666667</v>
      </c>
      <c r="L54" s="1256" t="n">
        <f aca="false">IF($A54&gt;=L$16,IF(MONTH($A54)=MONTH(L$16),AVERAGE(F42:F53),L53),L53)</f>
        <v>1.164025</v>
      </c>
      <c r="M54" s="1215" t="n">
        <f aca="false">M53+1</f>
        <v>42</v>
      </c>
      <c r="N54" s="1252" t="n">
        <f aca="false">HLOOKUP(N$14,Dec_Change,$M54)</f>
        <v>1.02276923076923</v>
      </c>
      <c r="O54" s="1253" t="n">
        <f aca="false">O53</f>
        <v>1.005</v>
      </c>
      <c r="P54" s="1256" t="n">
        <f aca="false">IF(AND($A54&gt;=P$16,MONTH($A54)=MONTH(P$16)),MAX(N54,O54)*P53,P53)</f>
        <v>1.0374531835206</v>
      </c>
    </row>
    <row r="55" customFormat="false" ht="12.75" hidden="false" customHeight="false" outlineLevel="0" collapsed="false">
      <c r="A55" s="1254" t="n">
        <f aca="false">EDATE(A54,1)</f>
        <v>36495</v>
      </c>
      <c r="B55" s="1245" t="n">
        <f aca="false">'[3]Monthly Curve Calc.'!B58</f>
        <v>176.65</v>
      </c>
      <c r="C55" s="1246" t="n">
        <f aca="false">'[3]Monthly Curve Calc.'!C58</f>
        <v>168.3</v>
      </c>
      <c r="D55" s="1246" t="n">
        <f aca="false">'[3]Monthly Curve Calc.'!D58</f>
        <v>135.2</v>
      </c>
      <c r="E55" s="1246" t="n">
        <f aca="false">'[3]Monthly Curve Calc.'!E58</f>
        <v>25.6</v>
      </c>
      <c r="F55" s="1247" t="n">
        <f aca="false">'[3]Monthly Curve Calc.'!F58</f>
        <v>1.799</v>
      </c>
      <c r="G55" s="1255" t="n">
        <f aca="false">IF(AND($A55&gt;G$16,MONTH($A55)=MONTH(G$16)),B54/B42,G54)</f>
        <v>1.08507567830054</v>
      </c>
      <c r="H55" s="1253" t="n">
        <f aca="false">IF(AND($A55&gt;H$16,MONTH($A55)=MONTH(H$16)),C54/C42,H54)</f>
        <v>1.02276923076923</v>
      </c>
      <c r="I55" s="1253" t="n">
        <f aca="false">IF(AND($A55&gt;I$16,MONTH($A55)=MONTH(I$16)),C54/C42-I$18,I54)</f>
        <v>1.02026923076923</v>
      </c>
      <c r="J55" s="1253" t="n">
        <f aca="false">IF(AND($A55&gt;J$16,MONTH($A55)=MONTH(J$16)),D54/D42,J54)</f>
        <v>0.99923896499239</v>
      </c>
      <c r="K55" s="1253" t="n">
        <f aca="false">IF($A55&gt;=K$16,IF(MONTH($A55)=MONTH(K$16),AVERAGE(E43:E54),K54),K54)</f>
        <v>14.4500291666667</v>
      </c>
      <c r="L55" s="1256" t="n">
        <f aca="false">IF($A55&gt;=L$16,IF(MONTH($A55)=MONTH(L$16),AVERAGE(F43:F54),L54),L54)</f>
        <v>1.164025</v>
      </c>
      <c r="M55" s="1215" t="n">
        <f aca="false">M54+1</f>
        <v>43</v>
      </c>
      <c r="N55" s="1252" t="n">
        <f aca="false">HLOOKUP(N$14,Dec_Change,$M55)</f>
        <v>1.02276923076923</v>
      </c>
      <c r="O55" s="1253" t="n">
        <f aca="false">O54</f>
        <v>1.005</v>
      </c>
      <c r="P55" s="1256" t="n">
        <f aca="false">IF(AND($A55&gt;=P$16,MONTH($A55)=MONTH(P$16)),MAX(N55,O55)*P54,P54)</f>
        <v>1.0374531835206</v>
      </c>
    </row>
    <row r="56" customFormat="false" ht="12.75" hidden="false" customHeight="false" outlineLevel="0" collapsed="false">
      <c r="A56" s="1254" t="n">
        <f aca="false">EDATE(A55,1)</f>
        <v>36526</v>
      </c>
      <c r="B56" s="1245" t="n">
        <f aca="false">'[3]Monthly Curve Calc.'!B59</f>
        <v>177.962667619927</v>
      </c>
      <c r="C56" s="1246" t="n">
        <f aca="false">'[3]Monthly Curve Calc.'!C59</f>
        <v>168.759419216569</v>
      </c>
      <c r="D56" s="1246" t="n">
        <f aca="false">'[3]Monthly Curve Calc.'!D59</f>
        <v>135.639875986202</v>
      </c>
      <c r="E56" s="1246" t="n">
        <f aca="false">'[3]Monthly Curve Calc.'!E59</f>
        <v>26.1920833333333</v>
      </c>
      <c r="F56" s="1247" t="n">
        <f aca="false">'[3]Monthly Curve Calc.'!F59</f>
        <v>1.79475064868979</v>
      </c>
      <c r="G56" s="1255" t="n">
        <f aca="false">IF(AND($A56&gt;G$16,MONTH($A56)=MONTH(G$16)),B55/B43,G55)</f>
        <v>1.08507567830054</v>
      </c>
      <c r="H56" s="1253" t="n">
        <f aca="false">IF(AND($A56&gt;H$16,MONTH($A56)=MONTH(H$16)),C55/C43,H55)</f>
        <v>1.02276923076923</v>
      </c>
      <c r="I56" s="1253" t="n">
        <f aca="false">IF(AND($A56&gt;I$16,MONTH($A56)=MONTH(I$16)),C55/C43-I$18,I55)</f>
        <v>1.02026923076923</v>
      </c>
      <c r="J56" s="1253" t="n">
        <f aca="false">IF(AND($A56&gt;J$16,MONTH($A56)=MONTH(J$16)),D55/D43,J55)</f>
        <v>1.02970297029703</v>
      </c>
      <c r="K56" s="1253" t="n">
        <f aca="false">IF($A56&gt;=K$16,IF(MONTH($A56)=MONTH(K$16),AVERAGE(E44:E55),K55),K55)</f>
        <v>19.64</v>
      </c>
      <c r="L56" s="1256" t="n">
        <f aca="false">IF($A56&gt;=L$16,IF(MONTH($A56)=MONTH(L$16),AVERAGE(F44:F55),L55),L55)</f>
        <v>1.85579166666667</v>
      </c>
      <c r="M56" s="1215" t="n">
        <f aca="false">M55+1</f>
        <v>44</v>
      </c>
      <c r="N56" s="1252" t="n">
        <f aca="false">HLOOKUP(N$14,Dec_Change,$M56)</f>
        <v>1.02276923076923</v>
      </c>
      <c r="O56" s="1253" t="n">
        <f aca="false">O55</f>
        <v>1.005</v>
      </c>
      <c r="P56" s="1256" t="n">
        <f aca="false">IF(AND($A56&gt;=P$16,MONTH($A56)=MONTH(P$16)),MAX(N56,O56)*P55,P55)</f>
        <v>1.0374531835206</v>
      </c>
    </row>
    <row r="57" customFormat="false" ht="12.75" hidden="false" customHeight="false" outlineLevel="0" collapsed="false">
      <c r="A57" s="1254" t="n">
        <f aca="false">EDATE(A56,1)</f>
        <v>36557</v>
      </c>
      <c r="B57" s="1245" t="n">
        <f aca="false">'[3]Monthly Curve Calc.'!B60</f>
        <v>179.285089535243</v>
      </c>
      <c r="C57" s="1246" t="n">
        <f aca="false">'[3]Monthly Curve Calc.'!C60</f>
        <v>169.220092538999</v>
      </c>
      <c r="D57" s="1246" t="n">
        <f aca="false">'[3]Monthly Curve Calc.'!D60</f>
        <v>136.081183117991</v>
      </c>
      <c r="E57" s="1246" t="n">
        <f aca="false">'[3]Monthly Curve Calc.'!E60</f>
        <v>26.7841666666667</v>
      </c>
      <c r="F57" s="1247" t="n">
        <f aca="false">'[3]Monthly Curve Calc.'!F60</f>
        <v>1.79051133461502</v>
      </c>
      <c r="G57" s="1255" t="n">
        <f aca="false">IF(AND($A57&gt;G$16,MONTH($A57)=MONTH(G$16)),B56/B44,G56)</f>
        <v>1.08507567830054</v>
      </c>
      <c r="H57" s="1253" t="n">
        <f aca="false">IF(AND($A57&gt;H$16,MONTH($A57)=MONTH(H$16)),C56/C44,H56)</f>
        <v>1.02276923076923</v>
      </c>
      <c r="I57" s="1253" t="n">
        <f aca="false">IF(AND($A57&gt;I$16,MONTH($A57)=MONTH(I$16)),C56/C44-I$18,I56)</f>
        <v>1.02026923076923</v>
      </c>
      <c r="J57" s="1253" t="n">
        <f aca="false">IF(AND($A57&gt;J$16,MONTH($A57)=MONTH(J$16)),D56/D44,J56)</f>
        <v>1.02970297029703</v>
      </c>
      <c r="K57" s="1253" t="n">
        <f aca="false">IF($A57&gt;=K$16,IF(MONTH($A57)=MONTH(K$16),AVERAGE(E45:E56),K56),K56)</f>
        <v>19.64</v>
      </c>
      <c r="L57" s="1256" t="n">
        <f aca="false">IF($A57&gt;=L$16,IF(MONTH($A57)=MONTH(L$16),AVERAGE(F45:F56),L56),L56)</f>
        <v>1.85579166666667</v>
      </c>
      <c r="M57" s="1215" t="n">
        <f aca="false">M56+1</f>
        <v>45</v>
      </c>
      <c r="N57" s="1252" t="n">
        <f aca="false">HLOOKUP(N$14,Dec_Change,$M57)</f>
        <v>1.02276923076923</v>
      </c>
      <c r="O57" s="1253" t="n">
        <f aca="false">O56</f>
        <v>1.005</v>
      </c>
      <c r="P57" s="1256" t="n">
        <f aca="false">IF(AND($A57&gt;=P$16,MONTH($A57)=MONTH(P$16)),MAX(N57,O57)*P56,P56)</f>
        <v>1.0374531835206</v>
      </c>
    </row>
    <row r="58" customFormat="false" ht="12.75" hidden="false" customHeight="false" outlineLevel="0" collapsed="false">
      <c r="A58" s="1254" t="n">
        <f aca="false">EDATE(A57,1)</f>
        <v>36586</v>
      </c>
      <c r="B58" s="1245" t="n">
        <f aca="false">'[3]Monthly Curve Calc.'!B61</f>
        <v>180.617338229093</v>
      </c>
      <c r="C58" s="1246" t="n">
        <f aca="false">'[3]Monthly Curve Calc.'!C61</f>
        <v>169.682023390704</v>
      </c>
      <c r="D58" s="1246" t="n">
        <f aca="false">'[3]Monthly Curve Calc.'!D61</f>
        <v>136.523926051627</v>
      </c>
      <c r="E58" s="1246" t="n">
        <f aca="false">'[3]Monthly Curve Calc.'!E61</f>
        <v>27.37625</v>
      </c>
      <c r="F58" s="1247" t="n">
        <f aca="false">'[3]Monthly Curve Calc.'!F61</f>
        <v>1.78628203406711</v>
      </c>
      <c r="G58" s="1255" t="n">
        <f aca="false">IF(AND($A58&gt;G$16,MONTH($A58)=MONTH(G$16)),B57/B45,G57)</f>
        <v>1.08507567830054</v>
      </c>
      <c r="H58" s="1253" t="n">
        <f aca="false">IF(AND($A58&gt;H$16,MONTH($A58)=MONTH(H$16)),C57/C45,H57)</f>
        <v>1.02276923076923</v>
      </c>
      <c r="I58" s="1253" t="n">
        <f aca="false">IF(AND($A58&gt;I$16,MONTH($A58)=MONTH(I$16)),C57/C45-I$18,I57)</f>
        <v>1.02026923076923</v>
      </c>
      <c r="J58" s="1253" t="n">
        <f aca="false">IF(AND($A58&gt;J$16,MONTH($A58)=MONTH(J$16)),D57/D45,J57)</f>
        <v>1.02970297029703</v>
      </c>
      <c r="K58" s="1253" t="n">
        <f aca="false">IF($A58&gt;=K$16,IF(MONTH($A58)=MONTH(K$16),AVERAGE(E46:E57),K57),K57)</f>
        <v>19.64</v>
      </c>
      <c r="L58" s="1256" t="n">
        <f aca="false">IF($A58&gt;=L$16,IF(MONTH($A58)=MONTH(L$16),AVERAGE(F46:F57),L57),L57)</f>
        <v>1.85579166666667</v>
      </c>
      <c r="M58" s="1215" t="n">
        <f aca="false">M57+1</f>
        <v>46</v>
      </c>
      <c r="N58" s="1252" t="n">
        <f aca="false">HLOOKUP(N$14,Dec_Change,$M58)</f>
        <v>1.02276923076923</v>
      </c>
      <c r="O58" s="1253" t="n">
        <f aca="false">O57</f>
        <v>1.005</v>
      </c>
      <c r="P58" s="1256" t="n">
        <f aca="false">IF(AND($A58&gt;=P$16,MONTH($A58)=MONTH(P$16)),MAX(N58,O58)*P57,P57)</f>
        <v>1.0374531835206</v>
      </c>
    </row>
    <row r="59" customFormat="false" ht="12.75" hidden="false" customHeight="false" outlineLevel="0" collapsed="false">
      <c r="A59" s="1254" t="n">
        <f aca="false">EDATE(A58,1)</f>
        <v>36617</v>
      </c>
      <c r="B59" s="1245" t="n">
        <f aca="false">'[3]Monthly Curve Calc.'!B62</f>
        <v>181.959486723239</v>
      </c>
      <c r="C59" s="1246" t="n">
        <f aca="false">'[3]Monthly Curve Calc.'!C62</f>
        <v>170.145215204442</v>
      </c>
      <c r="D59" s="1246" t="n">
        <f aca="false">'[3]Monthly Curve Calc.'!D62</f>
        <v>136.968109458522</v>
      </c>
      <c r="E59" s="1246" t="n">
        <f aca="false">'[3]Monthly Curve Calc.'!E62</f>
        <v>27.9683333333333</v>
      </c>
      <c r="F59" s="1247" t="n">
        <f aca="false">'[3]Monthly Curve Calc.'!F62</f>
        <v>1.78206272339347</v>
      </c>
      <c r="G59" s="1255" t="n">
        <f aca="false">IF(AND($A59&gt;G$16,MONTH($A59)=MONTH(G$16)),B58/B46,G58)</f>
        <v>1.08507567830054</v>
      </c>
      <c r="H59" s="1253" t="n">
        <f aca="false">IF(AND($A59&gt;H$16,MONTH($A59)=MONTH(H$16)),C58/C46,H58)</f>
        <v>1.02276923076923</v>
      </c>
      <c r="I59" s="1253" t="n">
        <f aca="false">IF(AND($A59&gt;I$16,MONTH($A59)=MONTH(I$16)),C58/C46-I$18,I58)</f>
        <v>1.02026923076923</v>
      </c>
      <c r="J59" s="1253" t="n">
        <f aca="false">IF(AND($A59&gt;J$16,MONTH($A59)=MONTH(J$16)),D58/D46,J58)</f>
        <v>1.02970297029703</v>
      </c>
      <c r="K59" s="1253" t="n">
        <f aca="false">IF($A59&gt;=K$16,IF(MONTH($A59)=MONTH(K$16),AVERAGE(E47:E58),K58),K58)</f>
        <v>19.64</v>
      </c>
      <c r="L59" s="1256" t="n">
        <f aca="false">IF($A59&gt;=L$16,IF(MONTH($A59)=MONTH(L$16),AVERAGE(F47:F58),L58),L58)</f>
        <v>1.85579166666667</v>
      </c>
      <c r="M59" s="1215" t="n">
        <f aca="false">M58+1</f>
        <v>47</v>
      </c>
      <c r="N59" s="1252" t="n">
        <f aca="false">HLOOKUP(N$14,Dec_Change,$M59)</f>
        <v>1.02276923076923</v>
      </c>
      <c r="O59" s="1253" t="n">
        <f aca="false">O58</f>
        <v>1.005</v>
      </c>
      <c r="P59" s="1256" t="n">
        <f aca="false">IF(AND($A59&gt;=P$16,MONTH($A59)=MONTH(P$16)),MAX(N59,O59)*P58,P58)</f>
        <v>1.0374531835206</v>
      </c>
    </row>
    <row r="60" customFormat="false" ht="12.75" hidden="false" customHeight="false" outlineLevel="0" collapsed="false">
      <c r="A60" s="1254" t="n">
        <f aca="false">EDATE(A59,1)</f>
        <v>36647</v>
      </c>
      <c r="B60" s="1245" t="n">
        <f aca="false">'[3]Monthly Curve Calc.'!B63</f>
        <v>183.311608582057</v>
      </c>
      <c r="C60" s="1246" t="n">
        <f aca="false">'[3]Monthly Curve Calc.'!C63</f>
        <v>170.609671422339</v>
      </c>
      <c r="D60" s="1246" t="n">
        <f aca="false">'[3]Monthly Curve Calc.'!D63</f>
        <v>137.413738025284</v>
      </c>
      <c r="E60" s="1246" t="n">
        <f aca="false">'[3]Monthly Curve Calc.'!E63</f>
        <v>28.5604166666667</v>
      </c>
      <c r="F60" s="1247" t="n">
        <f aca="false">'[3]Monthly Curve Calc.'!F63</f>
        <v>1.7778533789974</v>
      </c>
      <c r="G60" s="1255" t="n">
        <f aca="false">IF(AND($A60&gt;G$16,MONTH($A60)=MONTH(G$16)),B59/B47,G59)</f>
        <v>1.1469239629577</v>
      </c>
      <c r="H60" s="1253" t="n">
        <f aca="false">IF(AND($A60&gt;H$16,MONTH($A60)=MONTH(H$16)),C59/C47,H59)</f>
        <v>1.0237377569461</v>
      </c>
      <c r="I60" s="1253" t="n">
        <f aca="false">IF(AND($A60&gt;I$16,MONTH($A60)=MONTH(I$16)),C59/C47-I$18,I59)</f>
        <v>1.0212377569461</v>
      </c>
      <c r="J60" s="1253" t="n">
        <f aca="false">IF(AND($A60&gt;J$16,MONTH($A60)=MONTH(J$16)),D59/D47,J59)</f>
        <v>1.02970297029703</v>
      </c>
      <c r="K60" s="1253" t="n">
        <f aca="false">IF($A60&gt;=K$16,IF(MONTH($A60)=MONTH(K$16),AVERAGE(E48:E59),K59),K59)</f>
        <v>19.64</v>
      </c>
      <c r="L60" s="1256" t="n">
        <f aca="false">IF($A60&gt;=L$16,IF(MONTH($A60)=MONTH(L$16),AVERAGE(F48:F59),L59),L59)</f>
        <v>1.85579166666667</v>
      </c>
      <c r="M60" s="1215" t="n">
        <f aca="false">M59+1</f>
        <v>48</v>
      </c>
      <c r="N60" s="1252" t="n">
        <f aca="false">HLOOKUP(N$14,Dec_Change,$M60)</f>
        <v>1.0237377569461</v>
      </c>
      <c r="O60" s="1253" t="n">
        <f aca="false">O59</f>
        <v>1.005</v>
      </c>
      <c r="P60" s="1256" t="n">
        <f aca="false">IF(AND($A60&gt;=P$16,MONTH($A60)=MONTH(P$16)),MAX(N60,O60)*P59,P59)</f>
        <v>1.06207999503397</v>
      </c>
    </row>
    <row r="61" customFormat="false" ht="12.75" hidden="false" customHeight="false" outlineLevel="0" collapsed="false">
      <c r="A61" s="1254" t="n">
        <f aca="false">EDATE(A60,1)</f>
        <v>36678</v>
      </c>
      <c r="B61" s="1245" t="n">
        <f aca="false">'[3]Monthly Curve Calc.'!B64</f>
        <v>184.673777916574</v>
      </c>
      <c r="C61" s="1246" t="n">
        <f aca="false">'[3]Monthly Curve Calc.'!C64</f>
        <v>171.075395495921</v>
      </c>
      <c r="D61" s="1246" t="n">
        <f aca="false">'[3]Monthly Curve Calc.'!D64</f>
        <v>137.860816453773</v>
      </c>
      <c r="E61" s="1246" t="n">
        <f aca="false">'[3]Monthly Curve Calc.'!E64</f>
        <v>29.1525</v>
      </c>
      <c r="F61" s="1247" t="n">
        <f aca="false">'[3]Monthly Curve Calc.'!F64</f>
        <v>1.77365397733792</v>
      </c>
      <c r="G61" s="1255" t="n">
        <f aca="false">IF(AND($A61&gt;G$16,MONTH($A61)=MONTH(G$16)),B60/B48,G60)</f>
        <v>1.1469239629577</v>
      </c>
      <c r="H61" s="1253" t="n">
        <f aca="false">IF(AND($A61&gt;H$16,MONTH($A61)=MONTH(H$16)),C60/C48,H60)</f>
        <v>1.0237377569461</v>
      </c>
      <c r="I61" s="1253" t="n">
        <f aca="false">IF(AND($A61&gt;I$16,MONTH($A61)=MONTH(I$16)),C60/C48-I$18,I60)</f>
        <v>1.0212377569461</v>
      </c>
      <c r="J61" s="1253" t="n">
        <f aca="false">IF(AND($A61&gt;J$16,MONTH($A61)=MONTH(J$16)),D60/D48,J60)</f>
        <v>1.02970297029703</v>
      </c>
      <c r="K61" s="1253" t="n">
        <f aca="false">IF($A61&gt;=K$16,IF(MONTH($A61)=MONTH(K$16),AVERAGE(E49:E60),K60),K60)</f>
        <v>19.64</v>
      </c>
      <c r="L61" s="1256" t="n">
        <f aca="false">IF($A61&gt;=L$16,IF(MONTH($A61)=MONTH(L$16),AVERAGE(F49:F60),L60),L60)</f>
        <v>1.85579166666667</v>
      </c>
      <c r="M61" s="1215" t="n">
        <f aca="false">M60+1</f>
        <v>49</v>
      </c>
      <c r="N61" s="1252" t="n">
        <f aca="false">HLOOKUP(N$14,Dec_Change,$M61)</f>
        <v>1.0237377569461</v>
      </c>
      <c r="O61" s="1253" t="n">
        <f aca="false">O60</f>
        <v>1.005</v>
      </c>
      <c r="P61" s="1256" t="n">
        <f aca="false">IF(AND($A61&gt;=P$16,MONTH($A61)=MONTH(P$16)),MAX(N61,O61)*P60,P60)</f>
        <v>1.06207999503397</v>
      </c>
    </row>
    <row r="62" customFormat="false" ht="12.75" hidden="false" customHeight="false" outlineLevel="0" collapsed="false">
      <c r="A62" s="1254" t="n">
        <f aca="false">EDATE(A61,1)</f>
        <v>36708</v>
      </c>
      <c r="B62" s="1245" t="n">
        <f aca="false">'[3]Monthly Curve Calc.'!B65</f>
        <v>186.046069388528</v>
      </c>
      <c r="C62" s="1246" t="n">
        <f aca="false">'[3]Monthly Curve Calc.'!C65</f>
        <v>171.542390886135</v>
      </c>
      <c r="D62" s="1246" t="n">
        <f aca="false">'[3]Monthly Curve Calc.'!D65</f>
        <v>138.309349461142</v>
      </c>
      <c r="E62" s="1246" t="n">
        <f aca="false">'[3]Monthly Curve Calc.'!E65</f>
        <v>29.7445833333333</v>
      </c>
      <c r="F62" s="1247" t="n">
        <f aca="false">'[3]Monthly Curve Calc.'!F65</f>
        <v>1.76946449492966</v>
      </c>
      <c r="G62" s="1255" t="n">
        <f aca="false">IF(AND($A62&gt;G$16,MONTH($A62)=MONTH(G$16)),B61/B49,G61)</f>
        <v>1.1469239629577</v>
      </c>
      <c r="H62" s="1253" t="n">
        <f aca="false">IF(AND($A62&gt;H$16,MONTH($A62)=MONTH(H$16)),C61/C49,H61)</f>
        <v>1.0237377569461</v>
      </c>
      <c r="I62" s="1253" t="n">
        <f aca="false">IF(AND($A62&gt;I$16,MONTH($A62)=MONTH(I$16)),C61/C49-I$18,I61)</f>
        <v>1.0212377569461</v>
      </c>
      <c r="J62" s="1253" t="n">
        <f aca="false">IF(AND($A62&gt;J$16,MONTH($A62)=MONTH(J$16)),D61/D49,J61)</f>
        <v>1.02970297029703</v>
      </c>
      <c r="K62" s="1253" t="n">
        <f aca="false">IF($A62&gt;=K$16,IF(MONTH($A62)=MONTH(K$16),AVERAGE(E50:E61),K61),K61)</f>
        <v>19.64</v>
      </c>
      <c r="L62" s="1256" t="n">
        <f aca="false">IF($A62&gt;=L$16,IF(MONTH($A62)=MONTH(L$16),AVERAGE(F50:F61),L61),L61)</f>
        <v>1.85579166666667</v>
      </c>
      <c r="M62" s="1215" t="n">
        <f aca="false">M61+1</f>
        <v>50</v>
      </c>
      <c r="N62" s="1252" t="n">
        <f aca="false">HLOOKUP(N$14,Dec_Change,$M62)</f>
        <v>1.0237377569461</v>
      </c>
      <c r="O62" s="1253" t="n">
        <f aca="false">O61</f>
        <v>1.005</v>
      </c>
      <c r="P62" s="1256" t="n">
        <f aca="false">IF(AND($A62&gt;=P$16,MONTH($A62)=MONTH(P$16)),MAX(N62,O62)*P61,P61)</f>
        <v>1.06207999503397</v>
      </c>
    </row>
    <row r="63" customFormat="false" ht="12.75" hidden="false" customHeight="false" outlineLevel="0" collapsed="false">
      <c r="A63" s="1254" t="n">
        <f aca="false">EDATE(A62,1)</f>
        <v>36739</v>
      </c>
      <c r="B63" s="1245" t="n">
        <f aca="false">'[3]Monthly Curve Calc.'!B66</f>
        <v>187.428558214461</v>
      </c>
      <c r="C63" s="1246" t="n">
        <f aca="false">'[3]Monthly Curve Calc.'!C66</f>
        <v>172.010661063373</v>
      </c>
      <c r="D63" s="1246" t="n">
        <f aca="false">'[3]Monthly Curve Calc.'!D66</f>
        <v>138.759341779893</v>
      </c>
      <c r="E63" s="1246" t="n">
        <f aca="false">'[3]Monthly Curve Calc.'!E66</f>
        <v>30.3366666666667</v>
      </c>
      <c r="F63" s="1247" t="n">
        <f aca="false">'[3]Monthly Curve Calc.'!F66</f>
        <v>1.76528490834273</v>
      </c>
      <c r="G63" s="1255" t="n">
        <f aca="false">IF(AND($A63&gt;G$16,MONTH($A63)=MONTH(G$16)),B62/B50,G62)</f>
        <v>1.1469239629577</v>
      </c>
      <c r="H63" s="1253" t="n">
        <f aca="false">IF(AND($A63&gt;H$16,MONTH($A63)=MONTH(H$16)),C62/C50,H62)</f>
        <v>1.0237377569461</v>
      </c>
      <c r="I63" s="1253" t="n">
        <f aca="false">IF(AND($A63&gt;I$16,MONTH($A63)=MONTH(I$16)),C62/C50-I$18,I62)</f>
        <v>1.0212377569461</v>
      </c>
      <c r="J63" s="1253" t="n">
        <f aca="false">IF(AND($A63&gt;J$16,MONTH($A63)=MONTH(J$16)),D62/D50,J62)</f>
        <v>1.02970297029703</v>
      </c>
      <c r="K63" s="1253" t="n">
        <f aca="false">IF($A63&gt;=K$16,IF(MONTH($A63)=MONTH(K$16),AVERAGE(E51:E62),K62),K62)</f>
        <v>19.64</v>
      </c>
      <c r="L63" s="1256" t="n">
        <f aca="false">IF($A63&gt;=L$16,IF(MONTH($A63)=MONTH(L$16),AVERAGE(F51:F62),L62),L62)</f>
        <v>1.85579166666667</v>
      </c>
      <c r="M63" s="1215" t="n">
        <f aca="false">M62+1</f>
        <v>51</v>
      </c>
      <c r="N63" s="1252" t="n">
        <f aca="false">HLOOKUP(N$14,Dec_Change,$M63)</f>
        <v>1.0237377569461</v>
      </c>
      <c r="O63" s="1253" t="n">
        <f aca="false">O62</f>
        <v>1.005</v>
      </c>
      <c r="P63" s="1256" t="n">
        <f aca="false">IF(AND($A63&gt;=P$16,MONTH($A63)=MONTH(P$16)),MAX(N63,O63)*P62,P62)</f>
        <v>1.06207999503397</v>
      </c>
    </row>
    <row r="64" customFormat="false" ht="12.75" hidden="false" customHeight="false" outlineLevel="0" collapsed="false">
      <c r="A64" s="1254" t="n">
        <f aca="false">EDATE(A63,1)</f>
        <v>36770</v>
      </c>
      <c r="B64" s="1245" t="n">
        <f aca="false">'[3]Monthly Curve Calc.'!B67</f>
        <v>188.82132016984</v>
      </c>
      <c r="C64" s="1246" t="n">
        <f aca="false">'[3]Monthly Curve Calc.'!C67</f>
        <v>172.480209507504</v>
      </c>
      <c r="D64" s="1246" t="n">
        <f aca="false">'[3]Monthly Curve Calc.'!D67</f>
        <v>139.210798157927</v>
      </c>
      <c r="E64" s="1246" t="n">
        <f aca="false">'[3]Monthly Curve Calc.'!E67</f>
        <v>30.92875</v>
      </c>
      <c r="F64" s="1247" t="n">
        <f aca="false">'[3]Monthly Curve Calc.'!F67</f>
        <v>1.76111519420256</v>
      </c>
      <c r="G64" s="1255" t="n">
        <f aca="false">IF(AND($A64&gt;G$16,MONTH($A64)=MONTH(G$16)),B63/B51,G63)</f>
        <v>1.1469239629577</v>
      </c>
      <c r="H64" s="1253" t="n">
        <f aca="false">IF(AND($A64&gt;H$16,MONTH($A64)=MONTH(H$16)),C63/C51,H63)</f>
        <v>1.0237377569461</v>
      </c>
      <c r="I64" s="1253" t="n">
        <f aca="false">IF(AND($A64&gt;I$16,MONTH($A64)=MONTH(I$16)),C63/C51-I$18,I63)</f>
        <v>1.0212377569461</v>
      </c>
      <c r="J64" s="1253" t="n">
        <f aca="false">IF(AND($A64&gt;J$16,MONTH($A64)=MONTH(J$16)),D63/D51,J63)</f>
        <v>1.02970297029703</v>
      </c>
      <c r="K64" s="1253" t="n">
        <f aca="false">IF($A64&gt;=K$16,IF(MONTH($A64)=MONTH(K$16),AVERAGE(E52:E63),K63),K63)</f>
        <v>19.64</v>
      </c>
      <c r="L64" s="1256" t="n">
        <f aca="false">IF($A64&gt;=L$16,IF(MONTH($A64)=MONTH(L$16),AVERAGE(F52:F63),L63),L63)</f>
        <v>1.85579166666667</v>
      </c>
      <c r="M64" s="1215" t="n">
        <f aca="false">M63+1</f>
        <v>52</v>
      </c>
      <c r="N64" s="1252" t="n">
        <f aca="false">HLOOKUP(N$14,Dec_Change,$M64)</f>
        <v>1.0237377569461</v>
      </c>
      <c r="O64" s="1253" t="n">
        <f aca="false">O63</f>
        <v>1.005</v>
      </c>
      <c r="P64" s="1256" t="n">
        <f aca="false">IF(AND($A64&gt;=P$16,MONTH($A64)=MONTH(P$16)),MAX(N64,O64)*P63,P63)</f>
        <v>1.06207999503397</v>
      </c>
    </row>
    <row r="65" customFormat="false" ht="12.75" hidden="false" customHeight="false" outlineLevel="0" collapsed="false">
      <c r="A65" s="1254" t="n">
        <f aca="false">EDATE(A64,1)</f>
        <v>36800</v>
      </c>
      <c r="B65" s="1245" t="n">
        <f aca="false">'[3]Monthly Curve Calc.'!B68</f>
        <v>190.224431593213</v>
      </c>
      <c r="C65" s="1246" t="n">
        <f aca="false">'[3]Monthly Curve Calc.'!C68</f>
        <v>172.951039707894</v>
      </c>
      <c r="D65" s="1246" t="n">
        <f aca="false">'[3]Monthly Curve Calc.'!D68</f>
        <v>139.663723358591</v>
      </c>
      <c r="E65" s="1246" t="n">
        <f aca="false">'[3]Monthly Curve Calc.'!E68</f>
        <v>31.5208333333334</v>
      </c>
      <c r="F65" s="1247" t="n">
        <f aca="false">'[3]Monthly Curve Calc.'!F68</f>
        <v>1.75695532918982</v>
      </c>
      <c r="G65" s="1255" t="n">
        <f aca="false">IF(AND($A65&gt;G$16,MONTH($A65)=MONTH(G$16)),B64/B52,G64)</f>
        <v>1.1469239629577</v>
      </c>
      <c r="H65" s="1253" t="n">
        <f aca="false">IF(AND($A65&gt;H$16,MONTH($A65)=MONTH(H$16)),C64/C52,H64)</f>
        <v>1.0237377569461</v>
      </c>
      <c r="I65" s="1253" t="n">
        <f aca="false">IF(AND($A65&gt;I$16,MONTH($A65)=MONTH(I$16)),C64/C52-I$18,I64)</f>
        <v>1.0212377569461</v>
      </c>
      <c r="J65" s="1253" t="n">
        <f aca="false">IF(AND($A65&gt;J$16,MONTH($A65)=MONTH(J$16)),D64/D52,J64)</f>
        <v>1.02970297029703</v>
      </c>
      <c r="K65" s="1253" t="n">
        <f aca="false">IF($A65&gt;=K$16,IF(MONTH($A65)=MONTH(K$16),AVERAGE(E53:E64),K64),K64)</f>
        <v>19.64</v>
      </c>
      <c r="L65" s="1256" t="n">
        <f aca="false">IF($A65&gt;=L$16,IF(MONTH($A65)=MONTH(L$16),AVERAGE(F53:F64),L64),L64)</f>
        <v>1.85579166666667</v>
      </c>
      <c r="M65" s="1215" t="n">
        <f aca="false">M64+1</f>
        <v>53</v>
      </c>
      <c r="N65" s="1252" t="n">
        <f aca="false">HLOOKUP(N$14,Dec_Change,$M65)</f>
        <v>1.0237377569461</v>
      </c>
      <c r="O65" s="1253" t="n">
        <f aca="false">O64</f>
        <v>1.005</v>
      </c>
      <c r="P65" s="1256" t="n">
        <f aca="false">IF(AND($A65&gt;=P$16,MONTH($A65)=MONTH(P$16)),MAX(N65,O65)*P64,P64)</f>
        <v>1.06207999503397</v>
      </c>
    </row>
    <row r="66" customFormat="false" ht="12.75" hidden="false" customHeight="false" outlineLevel="0" collapsed="false">
      <c r="A66" s="1254" t="n">
        <f aca="false">EDATE(A65,1)</f>
        <v>36831</v>
      </c>
      <c r="B66" s="1245" t="n">
        <f aca="false">'[3]Monthly Curve Calc.'!B69</f>
        <v>191.637969390391</v>
      </c>
      <c r="C66" s="1246" t="n">
        <f aca="false">'[3]Monthly Curve Calc.'!C69</f>
        <v>173.423155163434</v>
      </c>
      <c r="D66" s="1246" t="n">
        <f aca="false">'[3]Monthly Curve Calc.'!D69</f>
        <v>140.118122160729</v>
      </c>
      <c r="E66" s="1246" t="n">
        <f aca="false">'[3]Monthly Curve Calc.'!E69</f>
        <v>32.1129166666667</v>
      </c>
      <c r="F66" s="1247" t="n">
        <f aca="false">'[3]Monthly Curve Calc.'!F69</f>
        <v>1.75280529004025</v>
      </c>
      <c r="G66" s="1255" t="n">
        <f aca="false">IF(AND($A66&gt;G$16,MONTH($A66)=MONTH(G$16)),B65/B53,G65)</f>
        <v>1.1469239629577</v>
      </c>
      <c r="H66" s="1253" t="n">
        <f aca="false">IF(AND($A66&gt;H$16,MONTH($A66)=MONTH(H$16)),C65/C53,H65)</f>
        <v>1.0237377569461</v>
      </c>
      <c r="I66" s="1253" t="n">
        <f aca="false">IF(AND($A66&gt;I$16,MONTH($A66)=MONTH(I$16)),C65/C53-I$18,I65)</f>
        <v>1.0212377569461</v>
      </c>
      <c r="J66" s="1253" t="n">
        <f aca="false">IF(AND($A66&gt;J$16,MONTH($A66)=MONTH(J$16)),D65/D53,J65)</f>
        <v>1.02970297029703</v>
      </c>
      <c r="K66" s="1253" t="n">
        <f aca="false">IF($A66&gt;=K$16,IF(MONTH($A66)=MONTH(K$16),AVERAGE(E54:E65),K65),K65)</f>
        <v>19.64</v>
      </c>
      <c r="L66" s="1256" t="n">
        <f aca="false">IF($A66&gt;=L$16,IF(MONTH($A66)=MONTH(L$16),AVERAGE(F54:F65),L65),L65)</f>
        <v>1.85579166666667</v>
      </c>
      <c r="M66" s="1215" t="n">
        <f aca="false">M65+1</f>
        <v>54</v>
      </c>
      <c r="N66" s="1252" t="n">
        <f aca="false">HLOOKUP(N$14,Dec_Change,$M66)</f>
        <v>1.0237377569461</v>
      </c>
      <c r="O66" s="1253" t="n">
        <f aca="false">O65</f>
        <v>1.005</v>
      </c>
      <c r="P66" s="1256" t="n">
        <f aca="false">IF(AND($A66&gt;=P$16,MONTH($A66)=MONTH(P$16)),MAX(N66,O66)*P65,P65)</f>
        <v>1.06207999503397</v>
      </c>
    </row>
    <row r="67" customFormat="false" ht="12.75" hidden="false" customHeight="false" outlineLevel="0" collapsed="false">
      <c r="A67" s="1254" t="n">
        <f aca="false">EDATE(A66,1)</f>
        <v>36861</v>
      </c>
      <c r="B67" s="1245" t="n">
        <f aca="false">'[3]Monthly Curve Calc.'!B70</f>
        <v>193.062011038664</v>
      </c>
      <c r="C67" s="1246" t="n">
        <f aca="false">'[3]Monthly Curve Calc.'!C70</f>
        <v>173.896559382566</v>
      </c>
      <c r="D67" s="1246" t="n">
        <f aca="false">'[3]Monthly Curve Calc.'!D70</f>
        <v>140.573999358734</v>
      </c>
      <c r="E67" s="1246" t="n">
        <f aca="false">'[3]Monthly Curve Calc.'!E70</f>
        <v>26.745</v>
      </c>
      <c r="F67" s="1247" t="n">
        <f aca="false">'[3]Monthly Curve Calc.'!F70</f>
        <v>1.80386772326803</v>
      </c>
      <c r="G67" s="1255" t="n">
        <f aca="false">IF(AND($A67&gt;G$16,MONTH($A67)=MONTH(G$16)),B66/B54,G66)</f>
        <v>1.1469239629577</v>
      </c>
      <c r="H67" s="1253" t="n">
        <f aca="false">IF(AND($A67&gt;H$16,MONTH($A67)=MONTH(H$16)),C66/C54,H66)</f>
        <v>1.0237377569461</v>
      </c>
      <c r="I67" s="1253" t="n">
        <f aca="false">IF(AND($A67&gt;I$16,MONTH($A67)=MONTH(I$16)),C66/C54-I$18,I66)</f>
        <v>1.0212377569461</v>
      </c>
      <c r="J67" s="1253" t="n">
        <f aca="false">IF(AND($A67&gt;J$16,MONTH($A67)=MONTH(J$16)),D66/D54,J66)</f>
        <v>1.02970297029703</v>
      </c>
      <c r="K67" s="1253" t="n">
        <f aca="false">IF($A67&gt;=K$16,IF(MONTH($A67)=MONTH(K$16),AVERAGE(E55:E66),K66),K66)</f>
        <v>19.64</v>
      </c>
      <c r="L67" s="1256" t="n">
        <f aca="false">IF($A67&gt;=L$16,IF(MONTH($A67)=MONTH(L$16),AVERAGE(F55:F66),L66),L66)</f>
        <v>1.85579166666667</v>
      </c>
      <c r="M67" s="1215" t="n">
        <f aca="false">M66+1</f>
        <v>55</v>
      </c>
      <c r="N67" s="1252" t="n">
        <f aca="false">HLOOKUP(N$14,Dec_Change,$M67)</f>
        <v>1.0237377569461</v>
      </c>
      <c r="O67" s="1253" t="n">
        <f aca="false">O66</f>
        <v>1.005</v>
      </c>
      <c r="P67" s="1256" t="n">
        <f aca="false">IF(AND($A67&gt;=P$16,MONTH($A67)=MONTH(P$16)),MAX(N67,O67)*P66,P66)</f>
        <v>1.06207999503397</v>
      </c>
    </row>
    <row r="68" customFormat="false" ht="12.75" hidden="false" customHeight="false" outlineLevel="0" collapsed="false">
      <c r="A68" s="1254" t="n">
        <f aca="false">EDATE(A67,1)</f>
        <v>36892</v>
      </c>
      <c r="B68" s="1245" t="n">
        <f aca="false">'[3]Monthly Curve Calc.'!B71</f>
        <v>194.453471372283</v>
      </c>
      <c r="C68" s="1246" t="n">
        <f aca="false">'[3]Monthly Curve Calc.'!C71</f>
        <v>174.362626231407</v>
      </c>
      <c r="D68" s="1246" t="n">
        <f aca="false">'[3]Monthly Curve Calc.'!D71</f>
        <v>140.996524595263</v>
      </c>
      <c r="E68" s="1246" t="n">
        <f aca="false">'[3]Monthly Curve Calc.'!E71</f>
        <v>26.4221527777778</v>
      </c>
      <c r="F68" s="1247" t="n">
        <f aca="false">'[3]Monthly Curve Calc.'!F71</f>
        <v>1.81882126905259</v>
      </c>
      <c r="G68" s="1255" t="n">
        <f aca="false">IF(AND($A68&gt;G$16,MONTH($A68)=MONTH(G$16)),B67/B55,G67)</f>
        <v>1.1469239629577</v>
      </c>
      <c r="H68" s="1253" t="n">
        <f aca="false">IF(AND($A68&gt;H$16,MONTH($A68)=MONTH(H$16)),C67/C55,H67)</f>
        <v>1.0237377569461</v>
      </c>
      <c r="I68" s="1253" t="n">
        <f aca="false">IF(AND($A68&gt;I$16,MONTH($A68)=MONTH(I$16)),C67/C55-I$18,I67)</f>
        <v>1.0212377569461</v>
      </c>
      <c r="J68" s="1253" t="n">
        <f aca="false">IF(AND($A68&gt;J$16,MONTH($A68)=MONTH(J$16)),D67/D55,J67)</f>
        <v>1.03974851596697</v>
      </c>
      <c r="K68" s="1253" t="n">
        <f aca="false">IF($A68&gt;=K$16,IF(MONTH($A68)=MONTH(K$16),AVERAGE(E56:E67),K67),K67)</f>
        <v>28.951875</v>
      </c>
      <c r="L68" s="1256" t="n">
        <f aca="false">IF($A68&gt;=L$16,IF(MONTH($A68)=MONTH(L$16),AVERAGE(F56:F67),L67),L67)</f>
        <v>1.77621725308948</v>
      </c>
      <c r="M68" s="1215" t="n">
        <f aca="false">M67+1</f>
        <v>56</v>
      </c>
      <c r="N68" s="1252" t="n">
        <f aca="false">HLOOKUP(N$14,Dec_Change,$M68)</f>
        <v>1.0237377569461</v>
      </c>
      <c r="O68" s="1253" t="n">
        <f aca="false">O67</f>
        <v>1.005</v>
      </c>
      <c r="P68" s="1256" t="n">
        <f aca="false">IF(AND($A68&gt;=P$16,MONTH($A68)=MONTH(P$16)),MAX(N68,O68)*P67,P67)</f>
        <v>1.06207999503397</v>
      </c>
    </row>
    <row r="69" customFormat="false" ht="12.75" hidden="false" customHeight="false" outlineLevel="0" collapsed="false">
      <c r="A69" s="1254" t="n">
        <f aca="false">EDATE(A68,1)</f>
        <v>36923</v>
      </c>
      <c r="B69" s="1245" t="n">
        <f aca="false">'[3]Monthly Curve Calc.'!B72</f>
        <v>195.854960410408</v>
      </c>
      <c r="C69" s="1246" t="n">
        <f aca="false">'[3]Monthly Curve Calc.'!C72</f>
        <v>174.829942203913</v>
      </c>
      <c r="D69" s="1246" t="n">
        <f aca="false">'[3]Monthly Curve Calc.'!D72</f>
        <v>141.420319821808</v>
      </c>
      <c r="E69" s="1246" t="n">
        <f aca="false">'[3]Monthly Curve Calc.'!E72</f>
        <v>26.0993055555556</v>
      </c>
      <c r="F69" s="1247" t="n">
        <f aca="false">'[3]Monthly Curve Calc.'!F72</f>
        <v>1.8338987754406</v>
      </c>
      <c r="G69" s="1255" t="n">
        <f aca="false">IF(AND($A69&gt;G$16,MONTH($A69)=MONTH(G$16)),B68/B56,G68)</f>
        <v>1.1469239629577</v>
      </c>
      <c r="H69" s="1253" t="n">
        <f aca="false">IF(AND($A69&gt;H$16,MONTH($A69)=MONTH(H$16)),C68/C56,H68)</f>
        <v>1.0237377569461</v>
      </c>
      <c r="I69" s="1253" t="n">
        <f aca="false">IF(AND($A69&gt;I$16,MONTH($A69)=MONTH(I$16)),C68/C56-I$18,I68)</f>
        <v>1.0212377569461</v>
      </c>
      <c r="J69" s="1253" t="n">
        <f aca="false">IF(AND($A69&gt;J$16,MONTH($A69)=MONTH(J$16)),D68/D56,J68)</f>
        <v>1.03974851596697</v>
      </c>
      <c r="K69" s="1253" t="n">
        <f aca="false">IF($A69&gt;=K$16,IF(MONTH($A69)=MONTH(K$16),AVERAGE(E57:E68),K68),K68)</f>
        <v>28.951875</v>
      </c>
      <c r="L69" s="1256" t="n">
        <f aca="false">IF($A69&gt;=L$16,IF(MONTH($A69)=MONTH(L$16),AVERAGE(F57:F68),L68),L68)</f>
        <v>1.77621725308948</v>
      </c>
      <c r="M69" s="1215" t="n">
        <f aca="false">M68+1</f>
        <v>57</v>
      </c>
      <c r="N69" s="1252" t="n">
        <f aca="false">HLOOKUP(N$14,Dec_Change,$M69)</f>
        <v>1.0237377569461</v>
      </c>
      <c r="O69" s="1253" t="n">
        <f aca="false">O68</f>
        <v>1.005</v>
      </c>
      <c r="P69" s="1256" t="n">
        <f aca="false">IF(AND($A69&gt;=P$16,MONTH($A69)=MONTH(P$16)),MAX(N69,O69)*P68,P68)</f>
        <v>1.06207999503397</v>
      </c>
    </row>
    <row r="70" customFormat="false" ht="12.75" hidden="false" customHeight="false" outlineLevel="0" collapsed="false">
      <c r="A70" s="1254" t="n">
        <f aca="false">EDATE(A69,1)</f>
        <v>36951</v>
      </c>
      <c r="B70" s="1245" t="n">
        <f aca="false">'[3]Monthly Curve Calc.'!B73</f>
        <v>197.266550433155</v>
      </c>
      <c r="C70" s="1246" t="n">
        <f aca="false">'[3]Monthly Curve Calc.'!C73</f>
        <v>175.298510647909</v>
      </c>
      <c r="D70" s="1246" t="n">
        <f aca="false">'[3]Monthly Curve Calc.'!D73</f>
        <v>141.845388855593</v>
      </c>
      <c r="E70" s="1246" t="n">
        <f aca="false">'[3]Monthly Curve Calc.'!E73</f>
        <v>25.7764583333333</v>
      </c>
      <c r="F70" s="1247" t="n">
        <f aca="false">'[3]Monthly Curve Calc.'!F73</f>
        <v>1.84910127002989</v>
      </c>
      <c r="G70" s="1255" t="n">
        <f aca="false">IF(AND($A70&gt;G$16,MONTH($A70)=MONTH(G$16)),B69/B57,G69)</f>
        <v>1.1469239629577</v>
      </c>
      <c r="H70" s="1253" t="n">
        <f aca="false">IF(AND($A70&gt;H$16,MONTH($A70)=MONTH(H$16)),C69/C57,H69)</f>
        <v>1.0237377569461</v>
      </c>
      <c r="I70" s="1253" t="n">
        <f aca="false">IF(AND($A70&gt;I$16,MONTH($A70)=MONTH(I$16)),C69/C57-I$18,I69)</f>
        <v>1.0212377569461</v>
      </c>
      <c r="J70" s="1253" t="n">
        <f aca="false">IF(AND($A70&gt;J$16,MONTH($A70)=MONTH(J$16)),D69/D57,J69)</f>
        <v>1.03974851596697</v>
      </c>
      <c r="K70" s="1253" t="n">
        <f aca="false">IF($A70&gt;=K$16,IF(MONTH($A70)=MONTH(K$16),AVERAGE(E58:E69),K69),K69)</f>
        <v>28.951875</v>
      </c>
      <c r="L70" s="1256" t="n">
        <f aca="false">IF($A70&gt;=L$16,IF(MONTH($A70)=MONTH(L$16),AVERAGE(F58:F69),L69),L69)</f>
        <v>1.77621725308948</v>
      </c>
      <c r="M70" s="1215" t="n">
        <f aca="false">M69+1</f>
        <v>58</v>
      </c>
      <c r="N70" s="1252" t="n">
        <f aca="false">HLOOKUP(N$14,Dec_Change,$M70)</f>
        <v>1.0237377569461</v>
      </c>
      <c r="O70" s="1253" t="n">
        <f aca="false">O69</f>
        <v>1.005</v>
      </c>
      <c r="P70" s="1256" t="n">
        <f aca="false">IF(AND($A70&gt;=P$16,MONTH($A70)=MONTH(P$16)),MAX(N70,O70)*P69,P69)</f>
        <v>1.06207999503397</v>
      </c>
    </row>
    <row r="71" customFormat="false" ht="12.75" hidden="false" customHeight="false" outlineLevel="0" collapsed="false">
      <c r="A71" s="1254" t="n">
        <f aca="false">EDATE(A70,1)</f>
        <v>36982</v>
      </c>
      <c r="B71" s="1245" t="n">
        <f aca="false">'[3]Monthly Curve Calc.'!B74</f>
        <v>198.688314241586</v>
      </c>
      <c r="C71" s="1246" t="n">
        <f aca="false">'[3]Monthly Curve Calc.'!C74</f>
        <v>175.76833492019</v>
      </c>
      <c r="D71" s="1246" t="n">
        <f aca="false">'[3]Monthly Curve Calc.'!D74</f>
        <v>142.271735525321</v>
      </c>
      <c r="E71" s="1246" t="n">
        <f aca="false">'[3]Monthly Curve Calc.'!E74</f>
        <v>25.4536111111111</v>
      </c>
      <c r="F71" s="1247" t="n">
        <f aca="false">'[3]Monthly Curve Calc.'!F74</f>
        <v>1.8644297889368</v>
      </c>
      <c r="G71" s="1255" t="n">
        <f aca="false">IF(AND($A71&gt;G$16,MONTH($A71)=MONTH(G$16)),B70/B58,G70)</f>
        <v>1.1469239629577</v>
      </c>
      <c r="H71" s="1253" t="n">
        <f aca="false">IF(AND($A71&gt;H$16,MONTH($A71)=MONTH(H$16)),C70/C58,H70)</f>
        <v>1.0237377569461</v>
      </c>
      <c r="I71" s="1253" t="n">
        <f aca="false">IF(AND($A71&gt;I$16,MONTH($A71)=MONTH(I$16)),C70/C58-I$18,I70)</f>
        <v>1.0212377569461</v>
      </c>
      <c r="J71" s="1253" t="n">
        <f aca="false">IF(AND($A71&gt;J$16,MONTH($A71)=MONTH(J$16)),D70/D58,J70)</f>
        <v>1.03974851596697</v>
      </c>
      <c r="K71" s="1253" t="n">
        <f aca="false">IF($A71&gt;=K$16,IF(MONTH($A71)=MONTH(K$16),AVERAGE(E59:E70),K70),K70)</f>
        <v>28.951875</v>
      </c>
      <c r="L71" s="1256" t="n">
        <f aca="false">IF($A71&gt;=L$16,IF(MONTH($A71)=MONTH(L$16),AVERAGE(F59:F70),L70),L70)</f>
        <v>1.77621725308948</v>
      </c>
      <c r="M71" s="1215" t="n">
        <f aca="false">M70+1</f>
        <v>59</v>
      </c>
      <c r="N71" s="1252" t="n">
        <f aca="false">HLOOKUP(N$14,Dec_Change,$M71)</f>
        <v>1.0237377569461</v>
      </c>
      <c r="O71" s="1253" t="n">
        <f aca="false">O70</f>
        <v>1.005</v>
      </c>
      <c r="P71" s="1256" t="n">
        <f aca="false">IF(AND($A71&gt;=P$16,MONTH($A71)=MONTH(P$16)),MAX(N71,O71)*P70,P70)</f>
        <v>1.06207999503397</v>
      </c>
    </row>
    <row r="72" customFormat="false" ht="12.75" hidden="false" customHeight="false" outlineLevel="0" collapsed="false">
      <c r="A72" s="1254" t="n">
        <f aca="false">EDATE(A71,1)</f>
        <v>37012</v>
      </c>
      <c r="B72" s="1245" t="n">
        <f aca="false">'[3]Monthly Curve Calc.'!B75</f>
        <v>200.120325161463</v>
      </c>
      <c r="C72" s="1246" t="n">
        <f aca="false">'[3]Monthly Curve Calc.'!C75</f>
        <v>176.239418386552</v>
      </c>
      <c r="D72" s="1246" t="n">
        <f aca="false">'[3]Monthly Curve Calc.'!D75</f>
        <v>142.699363671198</v>
      </c>
      <c r="E72" s="1246" t="n">
        <f aca="false">'[3]Monthly Curve Calc.'!E75</f>
        <v>25.1307638888889</v>
      </c>
      <c r="F72" s="1247" t="n">
        <f aca="false">'[3]Monthly Curve Calc.'!F75</f>
        <v>1.87988537686674</v>
      </c>
      <c r="G72" s="1255" t="n">
        <f aca="false">IF(AND($A72&gt;G$16,MONTH($A72)=MONTH(G$16)),B71/B59,G71)</f>
        <v>1.09193709995342</v>
      </c>
      <c r="H72" s="1253" t="n">
        <f aca="false">IF(AND($A72&gt;H$16,MONTH($A72)=MONTH(H$16)),C71/C59,H71)</f>
        <v>1.03304894415627</v>
      </c>
      <c r="I72" s="1253" t="n">
        <f aca="false">IF(AND($A72&gt;I$16,MONTH($A72)=MONTH(I$16)),C71/C59-I$18,I71)</f>
        <v>1.03054894415627</v>
      </c>
      <c r="J72" s="1253" t="n">
        <f aca="false">IF(AND($A72&gt;J$16,MONTH($A72)=MONTH(J$16)),D71/D59,J71)</f>
        <v>1.03974851596697</v>
      </c>
      <c r="K72" s="1253" t="n">
        <f aca="false">IF($A72&gt;=K$16,IF(MONTH($A72)=MONTH(K$16),AVERAGE(E60:E71),K71),K71)</f>
        <v>28.951875</v>
      </c>
      <c r="L72" s="1256" t="n">
        <f aca="false">IF($A72&gt;=L$16,IF(MONTH($A72)=MONTH(L$16),AVERAGE(F60:F71),L71),L71)</f>
        <v>1.77621725308948</v>
      </c>
      <c r="M72" s="1215" t="n">
        <f aca="false">M71+1</f>
        <v>60</v>
      </c>
      <c r="N72" s="1252" t="n">
        <f aca="false">HLOOKUP(N$14,Dec_Change,$M72)</f>
        <v>1.03304894415627</v>
      </c>
      <c r="O72" s="1253" t="n">
        <f aca="false">O71</f>
        <v>1.005</v>
      </c>
      <c r="P72" s="1256" t="n">
        <f aca="false">IF(AND($A72&gt;=P$16,MONTH($A72)=MONTH(P$16)),MAX(N72,O72)*P71,P71)</f>
        <v>1.09718061747934</v>
      </c>
    </row>
    <row r="73" customFormat="false" ht="12.75" hidden="false" customHeight="false" outlineLevel="0" collapsed="false">
      <c r="A73" s="1254" t="n">
        <f aca="false">EDATE(A72,1)</f>
        <v>37043</v>
      </c>
      <c r="B73" s="1245" t="n">
        <f aca="false">'[3]Monthly Curve Calc.'!B76</f>
        <v>201.562657047032</v>
      </c>
      <c r="C73" s="1246" t="n">
        <f aca="false">'[3]Monthly Curve Calc.'!C76</f>
        <v>176.711764421808</v>
      </c>
      <c r="D73" s="1246" t="n">
        <f aca="false">'[3]Monthly Curve Calc.'!D76</f>
        <v>143.128277144976</v>
      </c>
      <c r="E73" s="1246" t="n">
        <f aca="false">'[3]Monthly Curve Calc.'!E76</f>
        <v>24.8079166666667</v>
      </c>
      <c r="F73" s="1247" t="n">
        <f aca="false">'[3]Monthly Curve Calc.'!F76</f>
        <v>1.89546908718545</v>
      </c>
      <c r="G73" s="1255" t="n">
        <f aca="false">IF(AND($A73&gt;G$16,MONTH($A73)=MONTH(G$16)),B72/B60,G72)</f>
        <v>1.09193709995342</v>
      </c>
      <c r="H73" s="1253" t="n">
        <f aca="false">IF(AND($A73&gt;H$16,MONTH($A73)=MONTH(H$16)),C72/C60,H72)</f>
        <v>1.03304894415627</v>
      </c>
      <c r="I73" s="1253" t="n">
        <f aca="false">IF(AND($A73&gt;I$16,MONTH($A73)=MONTH(I$16)),C72/C60-I$18,I72)</f>
        <v>1.03054894415627</v>
      </c>
      <c r="J73" s="1253" t="n">
        <f aca="false">IF(AND($A73&gt;J$16,MONTH($A73)=MONTH(J$16)),D72/D60,J72)</f>
        <v>1.03974851596697</v>
      </c>
      <c r="K73" s="1253" t="n">
        <f aca="false">IF($A73&gt;=K$16,IF(MONTH($A73)=MONTH(K$16),AVERAGE(E61:E72),K72),K72)</f>
        <v>28.951875</v>
      </c>
      <c r="L73" s="1256" t="n">
        <f aca="false">IF($A73&gt;=L$16,IF(MONTH($A73)=MONTH(L$16),AVERAGE(F61:F72),L72),L72)</f>
        <v>1.77621725308948</v>
      </c>
      <c r="M73" s="1215" t="n">
        <f aca="false">M72+1</f>
        <v>61</v>
      </c>
      <c r="N73" s="1252" t="n">
        <f aca="false">HLOOKUP(N$14,Dec_Change,$M73)</f>
        <v>1.03304894415627</v>
      </c>
      <c r="O73" s="1253" t="n">
        <f aca="false">O72</f>
        <v>1.005</v>
      </c>
      <c r="P73" s="1256" t="n">
        <f aca="false">IF(AND($A73&gt;=P$16,MONTH($A73)=MONTH(P$16)),MAX(N73,O73)*P72,P72)</f>
        <v>1.09718061747934</v>
      </c>
    </row>
    <row r="74" customFormat="false" ht="12.75" hidden="false" customHeight="false" outlineLevel="0" collapsed="false">
      <c r="A74" s="1254" t="n">
        <f aca="false">EDATE(A73,1)</f>
        <v>37073</v>
      </c>
      <c r="B74" s="1245" t="n">
        <f aca="false">'[3]Monthly Curve Calc.'!B77</f>
        <v>203.01538428483</v>
      </c>
      <c r="C74" s="1246" t="n">
        <f aca="false">'[3]Monthly Curve Calc.'!C77</f>
        <v>177.185376409817</v>
      </c>
      <c r="D74" s="1246" t="n">
        <f aca="false">'[3]Monthly Curve Calc.'!D77</f>
        <v>143.558479809983</v>
      </c>
      <c r="E74" s="1246" t="n">
        <f aca="false">'[3]Monthly Curve Calc.'!E77</f>
        <v>24.4850694444444</v>
      </c>
      <c r="F74" s="1247" t="n">
        <f aca="false">'[3]Monthly Curve Calc.'!F77</f>
        <v>1.91118198199078</v>
      </c>
      <c r="G74" s="1255" t="n">
        <f aca="false">IF(AND($A74&gt;G$16,MONTH($A74)=MONTH(G$16)),B73/B61,G73)</f>
        <v>1.09193709995342</v>
      </c>
      <c r="H74" s="1253" t="n">
        <f aca="false">IF(AND($A74&gt;H$16,MONTH($A74)=MONTH(H$16)),C73/C61,H73)</f>
        <v>1.03304894415627</v>
      </c>
      <c r="I74" s="1253" t="n">
        <f aca="false">IF(AND($A74&gt;I$16,MONTH($A74)=MONTH(I$16)),C73/C61-I$18,I73)</f>
        <v>1.03054894415627</v>
      </c>
      <c r="J74" s="1253" t="n">
        <f aca="false">IF(AND($A74&gt;J$16,MONTH($A74)=MONTH(J$16)),D73/D61,J73)</f>
        <v>1.03974851596697</v>
      </c>
      <c r="K74" s="1253" t="n">
        <f aca="false">IF($A74&gt;=K$16,IF(MONTH($A74)=MONTH(K$16),AVERAGE(E62:E73),K73),K73)</f>
        <v>28.951875</v>
      </c>
      <c r="L74" s="1256" t="n">
        <f aca="false">IF($A74&gt;=L$16,IF(MONTH($A74)=MONTH(L$16),AVERAGE(F62:F73),L73),L73)</f>
        <v>1.77621725308948</v>
      </c>
      <c r="M74" s="1215" t="n">
        <f aca="false">M73+1</f>
        <v>62</v>
      </c>
      <c r="N74" s="1252" t="n">
        <f aca="false">HLOOKUP(N$14,Dec_Change,$M74)</f>
        <v>1.03304894415627</v>
      </c>
      <c r="O74" s="1253" t="n">
        <f aca="false">O73</f>
        <v>1.005</v>
      </c>
      <c r="P74" s="1256" t="n">
        <f aca="false">IF(AND($A74&gt;=P$16,MONTH($A74)=MONTH(P$16)),MAX(N74,O74)*P73,P73)</f>
        <v>1.09718061747934</v>
      </c>
    </row>
    <row r="75" customFormat="false" ht="12.75" hidden="false" customHeight="false" outlineLevel="0" collapsed="false">
      <c r="A75" s="1254" t="n">
        <f aca="false">EDATE(A74,1)</f>
        <v>37104</v>
      </c>
      <c r="B75" s="1245" t="n">
        <f aca="false">'[3]Monthly Curve Calc.'!B78</f>
        <v>204.47858179752</v>
      </c>
      <c r="C75" s="1246" t="n">
        <f aca="false">'[3]Monthly Curve Calc.'!C78</f>
        <v>177.660257743509</v>
      </c>
      <c r="D75" s="1246" t="n">
        <f aca="false">'[3]Monthly Curve Calc.'!D78</f>
        <v>143.989975541158</v>
      </c>
      <c r="E75" s="1246" t="n">
        <f aca="false">'[3]Monthly Curve Calc.'!E78</f>
        <v>24.1622222222222</v>
      </c>
      <c r="F75" s="1247" t="n">
        <f aca="false">'[3]Monthly Curve Calc.'!F78</f>
        <v>1.92702513218504</v>
      </c>
      <c r="G75" s="1255" t="n">
        <f aca="false">IF(AND($A75&gt;G$16,MONTH($A75)=MONTH(G$16)),B74/B62,G74)</f>
        <v>1.09193709995342</v>
      </c>
      <c r="H75" s="1253" t="n">
        <f aca="false">IF(AND($A75&gt;H$16,MONTH($A75)=MONTH(H$16)),C74/C62,H74)</f>
        <v>1.03304894415627</v>
      </c>
      <c r="I75" s="1253" t="n">
        <f aca="false">IF(AND($A75&gt;I$16,MONTH($A75)=MONTH(I$16)),C74/C62-I$18,I74)</f>
        <v>1.03054894415627</v>
      </c>
      <c r="J75" s="1253" t="n">
        <f aca="false">IF(AND($A75&gt;J$16,MONTH($A75)=MONTH(J$16)),D74/D62,J74)</f>
        <v>1.03974851596697</v>
      </c>
      <c r="K75" s="1253" t="n">
        <f aca="false">IF($A75&gt;=K$16,IF(MONTH($A75)=MONTH(K$16),AVERAGE(E63:E74),K74),K74)</f>
        <v>28.951875</v>
      </c>
      <c r="L75" s="1256" t="n">
        <f aca="false">IF($A75&gt;=L$16,IF(MONTH($A75)=MONTH(L$16),AVERAGE(F63:F74),L74),L74)</f>
        <v>1.77621725308948</v>
      </c>
      <c r="M75" s="1215" t="n">
        <f aca="false">M74+1</f>
        <v>63</v>
      </c>
      <c r="N75" s="1252" t="n">
        <f aca="false">HLOOKUP(N$14,Dec_Change,$M75)</f>
        <v>1.03304894415627</v>
      </c>
      <c r="O75" s="1253" t="n">
        <f aca="false">O74</f>
        <v>1.005</v>
      </c>
      <c r="P75" s="1256" t="n">
        <f aca="false">IF(AND($A75&gt;=P$16,MONTH($A75)=MONTH(P$16)),MAX(N75,O75)*P74,P74)</f>
        <v>1.09718061747934</v>
      </c>
    </row>
    <row r="76" customFormat="false" ht="12.75" hidden="false" customHeight="false" outlineLevel="0" collapsed="false">
      <c r="A76" s="1254" t="n">
        <f aca="false">EDATE(A75,1)</f>
        <v>37135</v>
      </c>
      <c r="B76" s="1245" t="n">
        <f aca="false">'[3]Monthly Curve Calc.'!B79</f>
        <v>205.95232504776</v>
      </c>
      <c r="C76" s="1246" t="n">
        <f aca="false">'[3]Monthly Curve Calc.'!C79</f>
        <v>178.136411824906</v>
      </c>
      <c r="D76" s="1246" t="n">
        <f aca="false">'[3]Monthly Curve Calc.'!D79</f>
        <v>144.422768225089</v>
      </c>
      <c r="E76" s="1246" t="n">
        <f aca="false">'[3]Monthly Curve Calc.'!E79</f>
        <v>23.839375</v>
      </c>
      <c r="F76" s="1247" t="n">
        <f aca="false">'[3]Monthly Curve Calc.'!F79</f>
        <v>1.94299961754803</v>
      </c>
      <c r="G76" s="1255" t="n">
        <f aca="false">IF(AND($A76&gt;G$16,MONTH($A76)=MONTH(G$16)),B75/B63,G75)</f>
        <v>1.09193709995342</v>
      </c>
      <c r="H76" s="1253" t="n">
        <f aca="false">IF(AND($A76&gt;H$16,MONTH($A76)=MONTH(H$16)),C75/C63,H75)</f>
        <v>1.03304894415627</v>
      </c>
      <c r="I76" s="1253" t="n">
        <f aca="false">IF(AND($A76&gt;I$16,MONTH($A76)=MONTH(I$16)),C75/C63-I$18,I75)</f>
        <v>1.03054894415627</v>
      </c>
      <c r="J76" s="1253" t="n">
        <f aca="false">IF(AND($A76&gt;J$16,MONTH($A76)=MONTH(J$16)),D75/D63,J75)</f>
        <v>1.03974851596697</v>
      </c>
      <c r="K76" s="1253" t="n">
        <f aca="false">IF($A76&gt;=K$16,IF(MONTH($A76)=MONTH(K$16),AVERAGE(E64:E75),K75),K75)</f>
        <v>28.951875</v>
      </c>
      <c r="L76" s="1256" t="n">
        <f aca="false">IF($A76&gt;=L$16,IF(MONTH($A76)=MONTH(L$16),AVERAGE(F64:F75),L75),L75)</f>
        <v>1.77621725308948</v>
      </c>
      <c r="M76" s="1215" t="n">
        <f aca="false">M75+1</f>
        <v>64</v>
      </c>
      <c r="N76" s="1252" t="n">
        <f aca="false">HLOOKUP(N$14,Dec_Change,$M76)</f>
        <v>1.03304894415627</v>
      </c>
      <c r="O76" s="1253" t="n">
        <f aca="false">O75</f>
        <v>1.005</v>
      </c>
      <c r="P76" s="1256" t="n">
        <f aca="false">IF(AND($A76&gt;=P$16,MONTH($A76)=MONTH(P$16)),MAX(N76,O76)*P75,P75)</f>
        <v>1.09718061747934</v>
      </c>
    </row>
    <row r="77" customFormat="false" ht="12.75" hidden="false" customHeight="false" outlineLevel="0" collapsed="false">
      <c r="A77" s="1254" t="n">
        <f aca="false">EDATE(A76,1)</f>
        <v>37165</v>
      </c>
      <c r="B77" s="1245" t="n">
        <f aca="false">'[3]Monthly Curve Calc.'!B80</f>
        <v>207.43669004209</v>
      </c>
      <c r="C77" s="1246" t="n">
        <f aca="false">'[3]Monthly Curve Calc.'!C80</f>
        <v>178.613842065146</v>
      </c>
      <c r="D77" s="1246" t="n">
        <f aca="false">'[3]Monthly Curve Calc.'!D80</f>
        <v>144.856861760046</v>
      </c>
      <c r="E77" s="1246" t="n">
        <f aca="false">'[3]Monthly Curve Calc.'!E80</f>
        <v>23.5165277777778</v>
      </c>
      <c r="F77" s="1247" t="n">
        <f aca="false">'[3]Monthly Curve Calc.'!F80</f>
        <v>1.95910652681061</v>
      </c>
      <c r="G77" s="1255" t="n">
        <f aca="false">IF(AND($A77&gt;G$16,MONTH($A77)=MONTH(G$16)),B76/B64,G76)</f>
        <v>1.09193709995342</v>
      </c>
      <c r="H77" s="1253" t="n">
        <f aca="false">IF(AND($A77&gt;H$16,MONTH($A77)=MONTH(H$16)),C76/C64,H76)</f>
        <v>1.03304894415627</v>
      </c>
      <c r="I77" s="1253" t="n">
        <f aca="false">IF(AND($A77&gt;I$16,MONTH($A77)=MONTH(I$16)),C76/C64-I$18,I76)</f>
        <v>1.03054894415627</v>
      </c>
      <c r="J77" s="1253" t="n">
        <f aca="false">IF(AND($A77&gt;J$16,MONTH($A77)=MONTH(J$16)),D76/D64,J76)</f>
        <v>1.03974851596697</v>
      </c>
      <c r="K77" s="1253" t="n">
        <f aca="false">IF($A77&gt;=K$16,IF(MONTH($A77)=MONTH(K$16),AVERAGE(E65:E76),K76),K76)</f>
        <v>28.951875</v>
      </c>
      <c r="L77" s="1256" t="n">
        <f aca="false">IF($A77&gt;=L$16,IF(MONTH($A77)=MONTH(L$16),AVERAGE(F65:F76),L76),L76)</f>
        <v>1.77621725308948</v>
      </c>
      <c r="M77" s="1215" t="n">
        <f aca="false">M76+1</f>
        <v>65</v>
      </c>
      <c r="N77" s="1252" t="n">
        <f aca="false">HLOOKUP(N$14,Dec_Change,$M77)</f>
        <v>1.03304894415627</v>
      </c>
      <c r="O77" s="1253" t="n">
        <f aca="false">O76</f>
        <v>1.005</v>
      </c>
      <c r="P77" s="1256" t="n">
        <f aca="false">IF(AND($A77&gt;=P$16,MONTH($A77)=MONTH(P$16)),MAX(N77,O77)*P76,P76)</f>
        <v>1.09718061747934</v>
      </c>
    </row>
    <row r="78" customFormat="false" ht="12.75" hidden="false" customHeight="false" outlineLevel="0" collapsed="false">
      <c r="A78" s="1254" t="n">
        <f aca="false">EDATE(A77,1)</f>
        <v>37196</v>
      </c>
      <c r="B78" s="1245" t="n">
        <f aca="false">'[3]Monthly Curve Calc.'!B81</f>
        <v>208.931753334852</v>
      </c>
      <c r="C78" s="1246" t="n">
        <f aca="false">'[3]Monthly Curve Calc.'!C81</f>
        <v>179.092551884514</v>
      </c>
      <c r="D78" s="1246" t="n">
        <f aca="false">'[3]Monthly Curve Calc.'!D81</f>
        <v>145.292260056013</v>
      </c>
      <c r="E78" s="1246" t="n">
        <f aca="false">'[3]Monthly Curve Calc.'!E81</f>
        <v>23.1936805555556</v>
      </c>
      <c r="F78" s="1247" t="n">
        <f aca="false">'[3]Monthly Curve Calc.'!F81</f>
        <v>1.97534695772891</v>
      </c>
      <c r="G78" s="1255" t="n">
        <f aca="false">IF(AND($A78&gt;G$16,MONTH($A78)=MONTH(G$16)),B77/B65,G77)</f>
        <v>1.09193709995342</v>
      </c>
      <c r="H78" s="1253" t="n">
        <f aca="false">IF(AND($A78&gt;H$16,MONTH($A78)=MONTH(H$16)),C77/C65,H77)</f>
        <v>1.03304894415627</v>
      </c>
      <c r="I78" s="1253" t="n">
        <f aca="false">IF(AND($A78&gt;I$16,MONTH($A78)=MONTH(I$16)),C77/C65-I$18,I77)</f>
        <v>1.03054894415627</v>
      </c>
      <c r="J78" s="1253" t="n">
        <f aca="false">IF(AND($A78&gt;J$16,MONTH($A78)=MONTH(J$16)),D77/D65,J77)</f>
        <v>1.03974851596697</v>
      </c>
      <c r="K78" s="1253" t="n">
        <f aca="false">IF($A78&gt;=K$16,IF(MONTH($A78)=MONTH(K$16),AVERAGE(E66:E77),K77),K77)</f>
        <v>28.951875</v>
      </c>
      <c r="L78" s="1256" t="n">
        <f aca="false">IF($A78&gt;=L$16,IF(MONTH($A78)=MONTH(L$16),AVERAGE(F66:F77),L77),L77)</f>
        <v>1.77621725308948</v>
      </c>
      <c r="M78" s="1215" t="n">
        <f aca="false">M77+1</f>
        <v>66</v>
      </c>
      <c r="N78" s="1252" t="n">
        <f aca="false">HLOOKUP(N$14,Dec_Change,$M78)</f>
        <v>1.03304894415627</v>
      </c>
      <c r="O78" s="1253" t="n">
        <f aca="false">O77</f>
        <v>1.005</v>
      </c>
      <c r="P78" s="1256" t="n">
        <f aca="false">IF(AND($A78&gt;=P$16,MONTH($A78)=MONTH(P$16)),MAX(N78,O78)*P77,P77)</f>
        <v>1.09718061747934</v>
      </c>
    </row>
    <row r="79" customFormat="false" ht="12.75" hidden="false" customHeight="false" outlineLevel="0" collapsed="false">
      <c r="A79" s="1254" t="n">
        <f aca="false">EDATE(A78,1)</f>
        <v>37226</v>
      </c>
      <c r="B79" s="1245" t="n">
        <f aca="false">'[3]Monthly Curve Calc.'!B82</f>
        <v>210.437592032144</v>
      </c>
      <c r="C79" s="1246" t="n">
        <f aca="false">'[3]Monthly Curve Calc.'!C82</f>
        <v>179.572544712458</v>
      </c>
      <c r="D79" s="1246" t="n">
        <f aca="false">'[3]Monthly Curve Calc.'!D82</f>
        <v>145.72896703473</v>
      </c>
      <c r="E79" s="1246" t="n">
        <f aca="false">'[3]Monthly Curve Calc.'!E82</f>
        <v>22.8708333333333</v>
      </c>
      <c r="F79" s="1247" t="n">
        <f aca="false">'[3]Monthly Curve Calc.'!F82</f>
        <v>1.99172201715913</v>
      </c>
      <c r="G79" s="1255" t="n">
        <f aca="false">IF(AND($A79&gt;G$16,MONTH($A79)=MONTH(G$16)),B78/B66,G78)</f>
        <v>1.09193709995342</v>
      </c>
      <c r="H79" s="1253" t="n">
        <f aca="false">IF(AND($A79&gt;H$16,MONTH($A79)=MONTH(H$16)),C78/C66,H78)</f>
        <v>1.03304894415627</v>
      </c>
      <c r="I79" s="1253" t="n">
        <f aca="false">IF(AND($A79&gt;I$16,MONTH($A79)=MONTH(I$16)),C78/C66-I$18,I78)</f>
        <v>1.03054894415627</v>
      </c>
      <c r="J79" s="1253" t="n">
        <f aca="false">IF(AND($A79&gt;J$16,MONTH($A79)=MONTH(J$16)),D78/D66,J78)</f>
        <v>1.03974851596697</v>
      </c>
      <c r="K79" s="1253" t="n">
        <f aca="false">IF($A79&gt;=K$16,IF(MONTH($A79)=MONTH(K$16),AVERAGE(E67:E78),K78),K78)</f>
        <v>28.951875</v>
      </c>
      <c r="L79" s="1256" t="n">
        <f aca="false">IF($A79&gt;=L$16,IF(MONTH($A79)=MONTH(L$16),AVERAGE(F67:F78),L78),L78)</f>
        <v>1.77621725308948</v>
      </c>
      <c r="M79" s="1215" t="n">
        <f aca="false">M78+1</f>
        <v>67</v>
      </c>
      <c r="N79" s="1252" t="n">
        <f aca="false">HLOOKUP(N$14,Dec_Change,$M79)</f>
        <v>1.03304894415627</v>
      </c>
      <c r="O79" s="1253" t="n">
        <f aca="false">O78</f>
        <v>1.005</v>
      </c>
      <c r="P79" s="1256" t="n">
        <f aca="false">IF(AND($A79&gt;=P$16,MONTH($A79)=MONTH(P$16)),MAX(N79,O79)*P78,P78)</f>
        <v>1.09718061747934</v>
      </c>
    </row>
    <row r="80" customFormat="false" ht="12.75" hidden="false" customHeight="false" outlineLevel="0" collapsed="false">
      <c r="A80" s="1254" t="n">
        <f aca="false">EDATE(A79,1)</f>
        <v>37257</v>
      </c>
      <c r="B80" s="1245" t="n">
        <f aca="false">'[3]Monthly Curve Calc.'!B83</f>
        <v>211.87309067014</v>
      </c>
      <c r="C80" s="1246" t="n">
        <f aca="false">'[3]Monthly Curve Calc.'!C83</f>
        <v>180.021954839391</v>
      </c>
      <c r="D80" s="1246" t="n">
        <f aca="false">'[3]Monthly Curve Calc.'!D83</f>
        <v>146.092801264201</v>
      </c>
      <c r="E80" s="1246" t="n">
        <f aca="false">'[3]Monthly Curve Calc.'!E83</f>
        <v>22.7121527777778</v>
      </c>
      <c r="F80" s="1247" t="n">
        <f aca="false">'[3]Monthly Curve Calc.'!F83</f>
        <v>2.00248656102165</v>
      </c>
      <c r="G80" s="1255" t="n">
        <f aca="false">IF(AND($A80&gt;G$16,MONTH($A80)=MONTH(G$16)),B79/B67,G79)</f>
        <v>1.09193709995342</v>
      </c>
      <c r="H80" s="1253" t="n">
        <f aca="false">IF(AND($A80&gt;H$16,MONTH($A80)=MONTH(H$16)),C79/C67,H79)</f>
        <v>1.03304894415627</v>
      </c>
      <c r="I80" s="1253" t="n">
        <f aca="false">IF(AND($A80&gt;I$16,MONTH($A80)=MONTH(I$16)),C79/C67-I$18,I79)</f>
        <v>1.03054894415627</v>
      </c>
      <c r="J80" s="1253" t="n">
        <f aca="false">IF(AND($A80&gt;J$16,MONTH($A80)=MONTH(J$16)),D79/D67,J79)</f>
        <v>1.0366708473794</v>
      </c>
      <c r="K80" s="1253" t="n">
        <f aca="false">IF($A80&gt;=K$16,IF(MONTH($A80)=MONTH(K$16),AVERAGE(E68:E79),K79),K79)</f>
        <v>24.6464930555556</v>
      </c>
      <c r="L80" s="1256" t="n">
        <f aca="false">IF($A80&gt;=L$16,IF(MONTH($A80)=MONTH(L$16),AVERAGE(F68:F79),L79),L79)</f>
        <v>1.90408231674455</v>
      </c>
      <c r="M80" s="1215" t="n">
        <f aca="false">M79+1</f>
        <v>68</v>
      </c>
      <c r="N80" s="1252" t="n">
        <f aca="false">HLOOKUP(N$14,Dec_Change,$M80)</f>
        <v>1.03304894415627</v>
      </c>
      <c r="O80" s="1253" t="n">
        <f aca="false">O79</f>
        <v>1.005</v>
      </c>
      <c r="P80" s="1256" t="n">
        <f aca="false">IF(AND($A80&gt;=P$16,MONTH($A80)=MONTH(P$16)),MAX(N80,O80)*P79,P79)</f>
        <v>1.09718061747934</v>
      </c>
    </row>
    <row r="81" customFormat="false" ht="12.75" hidden="false" customHeight="false" outlineLevel="0" collapsed="false">
      <c r="A81" s="1254" t="n">
        <f aca="false">EDATE(A80,1)</f>
        <v>37288</v>
      </c>
      <c r="B81" s="1245" t="n">
        <f aca="false">'[3]Monthly Curve Calc.'!B84</f>
        <v>213.318381552572</v>
      </c>
      <c r="C81" s="1246" t="n">
        <f aca="false">'[3]Monthly Curve Calc.'!C84</f>
        <v>180.472489689831</v>
      </c>
      <c r="D81" s="1246" t="n">
        <f aca="false">'[3]Monthly Curve Calc.'!D84</f>
        <v>146.45754386041</v>
      </c>
      <c r="E81" s="1246" t="n">
        <f aca="false">'[3]Monthly Curve Calc.'!E84</f>
        <v>22.5534722222222</v>
      </c>
      <c r="F81" s="1247" t="n">
        <f aca="false">'[3]Monthly Curve Calc.'!F84</f>
        <v>2.01330928338677</v>
      </c>
      <c r="G81" s="1255" t="n">
        <f aca="false">IF(AND($A81&gt;G$16,MONTH($A81)=MONTH(G$16)),B80/B68,G80)</f>
        <v>1.09193709995342</v>
      </c>
      <c r="H81" s="1253" t="n">
        <f aca="false">IF(AND($A81&gt;H$16,MONTH($A81)=MONTH(H$16)),C80/C68,H80)</f>
        <v>1.03304894415627</v>
      </c>
      <c r="I81" s="1253" t="n">
        <f aca="false">IF(AND($A81&gt;I$16,MONTH($A81)=MONTH(I$16)),C80/C68-I$18,I80)</f>
        <v>1.03054894415627</v>
      </c>
      <c r="J81" s="1253" t="n">
        <f aca="false">IF(AND($A81&gt;J$16,MONTH($A81)=MONTH(J$16)),D80/D68,J80)</f>
        <v>1.0366708473794</v>
      </c>
      <c r="K81" s="1253" t="n">
        <f aca="false">IF($A81&gt;=K$16,IF(MONTH($A81)=MONTH(K$16),AVERAGE(E69:E80),K80),K80)</f>
        <v>24.6464930555556</v>
      </c>
      <c r="L81" s="1256" t="n">
        <f aca="false">IF($A81&gt;=L$16,IF(MONTH($A81)=MONTH(L$16),AVERAGE(F69:F80),L80),L80)</f>
        <v>1.90408231674455</v>
      </c>
      <c r="M81" s="1215" t="n">
        <f aca="false">M80+1</f>
        <v>69</v>
      </c>
      <c r="N81" s="1252" t="n">
        <f aca="false">HLOOKUP(N$14,Dec_Change,$M81)</f>
        <v>1.03304894415627</v>
      </c>
      <c r="O81" s="1253" t="n">
        <f aca="false">O80</f>
        <v>1.005</v>
      </c>
      <c r="P81" s="1256" t="n">
        <f aca="false">IF(AND($A81&gt;=P$16,MONTH($A81)=MONTH(P$16)),MAX(N81,O81)*P80,P80)</f>
        <v>1.09718061747934</v>
      </c>
    </row>
    <row r="82" customFormat="false" ht="12.75" hidden="false" customHeight="false" outlineLevel="0" collapsed="false">
      <c r="A82" s="1254" t="n">
        <f aca="false">EDATE(A81,1)</f>
        <v>37316</v>
      </c>
      <c r="B82" s="1245" t="n">
        <f aca="false">'[3]Monthly Curve Calc.'!B85</f>
        <v>214.773531477171</v>
      </c>
      <c r="C82" s="1246" t="n">
        <f aca="false">'[3]Monthly Curve Calc.'!C85</f>
        <v>180.924152078586</v>
      </c>
      <c r="D82" s="1246" t="n">
        <f aca="false">'[3]Monthly Curve Calc.'!D85</f>
        <v>146.823197091233</v>
      </c>
      <c r="E82" s="1246" t="n">
        <f aca="false">'[3]Monthly Curve Calc.'!E85</f>
        <v>22.3947916666667</v>
      </c>
      <c r="F82" s="1247" t="n">
        <f aca="false">'[3]Monthly Curve Calc.'!F85</f>
        <v>2.02419049868846</v>
      </c>
      <c r="G82" s="1255" t="n">
        <f aca="false">IF(AND($A82&gt;G$16,MONTH($A82)=MONTH(G$16)),B81/B69,G81)</f>
        <v>1.09193709995342</v>
      </c>
      <c r="H82" s="1253" t="n">
        <f aca="false">IF(AND($A82&gt;H$16,MONTH($A82)=MONTH(H$16)),C81/C69,H81)</f>
        <v>1.03304894415627</v>
      </c>
      <c r="I82" s="1253" t="n">
        <f aca="false">IF(AND($A82&gt;I$16,MONTH($A82)=MONTH(I$16)),C81/C69-I$18,I81)</f>
        <v>1.03054894415627</v>
      </c>
      <c r="J82" s="1253" t="n">
        <f aca="false">IF(AND($A82&gt;J$16,MONTH($A82)=MONTH(J$16)),D81/D69,J81)</f>
        <v>1.0366708473794</v>
      </c>
      <c r="K82" s="1253" t="n">
        <f aca="false">IF($A82&gt;=K$16,IF(MONTH($A82)=MONTH(K$16),AVERAGE(E70:E81),K81),K81)</f>
        <v>24.6464930555556</v>
      </c>
      <c r="L82" s="1256" t="n">
        <f aca="false">IF($A82&gt;=L$16,IF(MONTH($A82)=MONTH(L$16),AVERAGE(F70:F81),L81),L81)</f>
        <v>1.90408231674455</v>
      </c>
      <c r="M82" s="1215" t="n">
        <f aca="false">M81+1</f>
        <v>70</v>
      </c>
      <c r="N82" s="1252" t="n">
        <f aca="false">HLOOKUP(N$14,Dec_Change,$M82)</f>
        <v>1.03304894415627</v>
      </c>
      <c r="O82" s="1253" t="n">
        <f aca="false">O81</f>
        <v>1.005</v>
      </c>
      <c r="P82" s="1256" t="n">
        <f aca="false">IF(AND($A82&gt;=P$16,MONTH($A82)=MONTH(P$16)),MAX(N82,O82)*P81,P81)</f>
        <v>1.09718061747934</v>
      </c>
    </row>
    <row r="83" customFormat="false" ht="12.75" hidden="false" customHeight="false" outlineLevel="0" collapsed="false">
      <c r="A83" s="1254" t="n">
        <f aca="false">EDATE(A82,1)</f>
        <v>37347</v>
      </c>
      <c r="B83" s="1245" t="n">
        <f aca="false">'[3]Monthly Curve Calc.'!B86</f>
        <v>216.238607697327</v>
      </c>
      <c r="C83" s="1246" t="n">
        <f aca="false">'[3]Monthly Curve Calc.'!C86</f>
        <v>181.376944827506</v>
      </c>
      <c r="D83" s="1246" t="n">
        <f aca="false">'[3]Monthly Curve Calc.'!D86</f>
        <v>147.189763230203</v>
      </c>
      <c r="E83" s="1246" t="n">
        <f aca="false">'[3]Monthly Curve Calc.'!E86</f>
        <v>22.2361111111111</v>
      </c>
      <c r="F83" s="1247" t="n">
        <f aca="false">'[3]Monthly Curve Calc.'!F86</f>
        <v>2.03513052306008</v>
      </c>
      <c r="G83" s="1255" t="n">
        <f aca="false">IF(AND($A83&gt;G$16,MONTH($A83)=MONTH(G$16)),B82/B70,G82)</f>
        <v>1.09193709995342</v>
      </c>
      <c r="H83" s="1253" t="n">
        <f aca="false">IF(AND($A83&gt;H$16,MONTH($A83)=MONTH(H$16)),C82/C70,H82)</f>
        <v>1.03304894415627</v>
      </c>
      <c r="I83" s="1253" t="n">
        <f aca="false">IF(AND($A83&gt;I$16,MONTH($A83)=MONTH(I$16)),C82/C70-I$18,I82)</f>
        <v>1.03054894415627</v>
      </c>
      <c r="J83" s="1253" t="n">
        <f aca="false">IF(AND($A83&gt;J$16,MONTH($A83)=MONTH(J$16)),D82/D70,J82)</f>
        <v>1.0366708473794</v>
      </c>
      <c r="K83" s="1253" t="n">
        <f aca="false">IF($A83&gt;=K$16,IF(MONTH($A83)=MONTH(K$16),AVERAGE(E71:E82),K82),K82)</f>
        <v>24.6464930555556</v>
      </c>
      <c r="L83" s="1256" t="n">
        <f aca="false">IF($A83&gt;=L$16,IF(MONTH($A83)=MONTH(L$16),AVERAGE(F71:F82),L82),L82)</f>
        <v>1.90408231674455</v>
      </c>
      <c r="M83" s="1215" t="n">
        <f aca="false">M82+1</f>
        <v>71</v>
      </c>
      <c r="N83" s="1252" t="n">
        <f aca="false">HLOOKUP(N$14,Dec_Change,$M83)</f>
        <v>1.03304894415627</v>
      </c>
      <c r="O83" s="1253" t="n">
        <f aca="false">O82</f>
        <v>1.005</v>
      </c>
      <c r="P83" s="1256" t="n">
        <f aca="false">IF(AND($A83&gt;=P$16,MONTH($A83)=MONTH(P$16)),MAX(N83,O83)*P82,P82)</f>
        <v>1.09718061747934</v>
      </c>
    </row>
    <row r="84" customFormat="false" ht="12.75" hidden="false" customHeight="false" outlineLevel="0" collapsed="false">
      <c r="A84" s="1254" t="n">
        <f aca="false">EDATE(A83,1)</f>
        <v>37377</v>
      </c>
      <c r="B84" s="1245" t="n">
        <f aca="false">'[3]Monthly Curve Calc.'!B87</f>
        <v>217.713677925199</v>
      </c>
      <c r="C84" s="1246" t="n">
        <f aca="false">'[3]Monthly Curve Calc.'!C87</f>
        <v>181.830870765507</v>
      </c>
      <c r="D84" s="1246" t="n">
        <f aca="false">'[3]Monthly Curve Calc.'!D87</f>
        <v>147.557244556535</v>
      </c>
      <c r="E84" s="1246" t="n">
        <f aca="false">'[3]Monthly Curve Calc.'!E87</f>
        <v>22.0774305555556</v>
      </c>
      <c r="F84" s="1247" t="n">
        <f aca="false">'[3]Monthly Curve Calc.'!F87</f>
        <v>2.04612967434359</v>
      </c>
      <c r="G84" s="1255" t="n">
        <f aca="false">IF(AND($A84&gt;G$16,MONTH($A84)=MONTH(G$16)),B83/B71,G83)</f>
        <v>1.08833077839898</v>
      </c>
      <c r="H84" s="1253" t="n">
        <f aca="false">IF(AND($A84&gt;H$16,MONTH($A84)=MONTH(H$16)),C83/C71,H83)</f>
        <v>1.03190910302395</v>
      </c>
      <c r="I84" s="1253" t="n">
        <f aca="false">IF(AND($A84&gt;I$16,MONTH($A84)=MONTH(I$16)),C83/C71-I$18,I83)</f>
        <v>1.02940910302395</v>
      </c>
      <c r="J84" s="1253" t="n">
        <f aca="false">IF(AND($A84&gt;J$16,MONTH($A84)=MONTH(J$16)),D83/D71,J83)</f>
        <v>1.0366708473794</v>
      </c>
      <c r="K84" s="1253" t="n">
        <f aca="false">IF($A84&gt;=K$16,IF(MONTH($A84)=MONTH(K$16),AVERAGE(E72:E83),K83),K83)</f>
        <v>24.6464930555556</v>
      </c>
      <c r="L84" s="1256" t="n">
        <f aca="false">IF($A84&gt;=L$16,IF(MONTH($A84)=MONTH(L$16),AVERAGE(F72:F83),L83),L83)</f>
        <v>1.90408231674455</v>
      </c>
      <c r="M84" s="1215" t="n">
        <f aca="false">M83+1</f>
        <v>72</v>
      </c>
      <c r="N84" s="1252" t="n">
        <f aca="false">HLOOKUP(N$14,Dec_Change,$M84)</f>
        <v>1.03190910302395</v>
      </c>
      <c r="O84" s="1253" t="n">
        <f aca="false">O83</f>
        <v>1.005</v>
      </c>
      <c r="P84" s="1256" t="n">
        <f aca="false">IF(AND($A84&gt;=P$16,MONTH($A84)=MONTH(P$16)),MAX(N84,O84)*P83,P83)</f>
        <v>1.13219066683837</v>
      </c>
    </row>
    <row r="85" customFormat="false" ht="12.75" hidden="false" customHeight="false" outlineLevel="0" collapsed="false">
      <c r="A85" s="1254" t="n">
        <f aca="false">EDATE(A84,1)</f>
        <v>37408</v>
      </c>
      <c r="B85" s="1245" t="n">
        <f aca="false">'[3]Monthly Curve Calc.'!B88</f>
        <v>219.198810334845</v>
      </c>
      <c r="C85" s="1246" t="n">
        <f aca="false">'[3]Monthly Curve Calc.'!C88</f>
        <v>182.285932728581</v>
      </c>
      <c r="D85" s="1246" t="n">
        <f aca="false">'[3]Monthly Curve Calc.'!D88</f>
        <v>147.92564335513</v>
      </c>
      <c r="E85" s="1246" t="n">
        <f aca="false">'[3]Monthly Curve Calc.'!E88</f>
        <v>21.91875</v>
      </c>
      <c r="F85" s="1247" t="n">
        <f aca="false">'[3]Monthly Curve Calc.'!F88</f>
        <v>2.05718827209876</v>
      </c>
      <c r="G85" s="1255" t="n">
        <f aca="false">IF(AND($A85&gt;G$16,MONTH($A85)=MONTH(G$16)),B84/B72,G84)</f>
        <v>1.08833077839898</v>
      </c>
      <c r="H85" s="1253" t="n">
        <f aca="false">IF(AND($A85&gt;H$16,MONTH($A85)=MONTH(H$16)),C84/C72,H84)</f>
        <v>1.03190910302395</v>
      </c>
      <c r="I85" s="1253" t="n">
        <f aca="false">IF(AND($A85&gt;I$16,MONTH($A85)=MONTH(I$16)),C84/C72-I$18,I84)</f>
        <v>1.02940910302395</v>
      </c>
      <c r="J85" s="1253" t="n">
        <f aca="false">IF(AND($A85&gt;J$16,MONTH($A85)=MONTH(J$16)),D84/D72,J84)</f>
        <v>1.0366708473794</v>
      </c>
      <c r="K85" s="1253" t="n">
        <f aca="false">IF($A85&gt;=K$16,IF(MONTH($A85)=MONTH(K$16),AVERAGE(E73:E84),K84),K84)</f>
        <v>24.6464930555556</v>
      </c>
      <c r="L85" s="1256" t="n">
        <f aca="false">IF($A85&gt;=L$16,IF(MONTH($A85)=MONTH(L$16),AVERAGE(F73:F84),L84),L84)</f>
        <v>1.90408231674455</v>
      </c>
      <c r="M85" s="1215" t="n">
        <f aca="false">M84+1</f>
        <v>73</v>
      </c>
      <c r="N85" s="1252" t="n">
        <f aca="false">HLOOKUP(N$14,Dec_Change,$M85)</f>
        <v>1.03190910302395</v>
      </c>
      <c r="O85" s="1253" t="n">
        <f aca="false">O84</f>
        <v>1.005</v>
      </c>
      <c r="P85" s="1256" t="n">
        <f aca="false">IF(AND($A85&gt;=P$16,MONTH($A85)=MONTH(P$16)),MAX(N85,O85)*P84,P84)</f>
        <v>1.13219066683837</v>
      </c>
    </row>
    <row r="86" customFormat="false" ht="12.75" hidden="false" customHeight="false" outlineLevel="0" collapsed="false">
      <c r="A86" s="1254" t="n">
        <f aca="false">EDATE(A85,1)</f>
        <v>37438</v>
      </c>
      <c r="B86" s="1245" t="n">
        <f aca="false">'[3]Monthly Curve Calc.'!B89</f>
        <v>220.694073565371</v>
      </c>
      <c r="C86" s="1246" t="n">
        <f aca="false">'[3]Monthly Curve Calc.'!C89</f>
        <v>182.742133559822</v>
      </c>
      <c r="D86" s="1246" t="n">
        <f aca="false">'[3]Monthly Curve Calc.'!D89</f>
        <v>148.294961916595</v>
      </c>
      <c r="E86" s="1246" t="n">
        <f aca="false">'[3]Monthly Curve Calc.'!E89</f>
        <v>21.7600694444444</v>
      </c>
      <c r="F86" s="1247" t="n">
        <f aca="false">'[3]Monthly Curve Calc.'!F89</f>
        <v>2.06830663761246</v>
      </c>
      <c r="G86" s="1255" t="n">
        <f aca="false">IF(AND($A86&gt;G$16,MONTH($A86)=MONTH(G$16)),B85/B73,G85)</f>
        <v>1.08833077839898</v>
      </c>
      <c r="H86" s="1253" t="n">
        <f aca="false">IF(AND($A86&gt;H$16,MONTH($A86)=MONTH(H$16)),C85/C73,H85)</f>
        <v>1.03190910302395</v>
      </c>
      <c r="I86" s="1253" t="n">
        <f aca="false">IF(AND($A86&gt;I$16,MONTH($A86)=MONTH(I$16)),C85/C73-I$18,I85)</f>
        <v>1.02940910302395</v>
      </c>
      <c r="J86" s="1253" t="n">
        <f aca="false">IF(AND($A86&gt;J$16,MONTH($A86)=MONTH(J$16)),D85/D73,J85)</f>
        <v>1.0366708473794</v>
      </c>
      <c r="K86" s="1253" t="n">
        <f aca="false">IF($A86&gt;=K$16,IF(MONTH($A86)=MONTH(K$16),AVERAGE(E74:E85),K85),K85)</f>
        <v>24.6464930555556</v>
      </c>
      <c r="L86" s="1256" t="n">
        <f aca="false">IF($A86&gt;=L$16,IF(MONTH($A86)=MONTH(L$16),AVERAGE(F74:F85),L85),L85)</f>
        <v>1.90408231674455</v>
      </c>
      <c r="M86" s="1215" t="n">
        <f aca="false">M85+1</f>
        <v>74</v>
      </c>
      <c r="N86" s="1252" t="n">
        <f aca="false">HLOOKUP(N$14,Dec_Change,$M86)</f>
        <v>1.03190910302395</v>
      </c>
      <c r="O86" s="1253" t="n">
        <f aca="false">O85</f>
        <v>1.005</v>
      </c>
      <c r="P86" s="1256" t="n">
        <f aca="false">IF(AND($A86&gt;=P$16,MONTH($A86)=MONTH(P$16)),MAX(N86,O86)*P85,P85)</f>
        <v>1.13219066683837</v>
      </c>
    </row>
    <row r="87" customFormat="false" ht="12.75" hidden="false" customHeight="false" outlineLevel="0" collapsed="false">
      <c r="A87" s="1254" t="n">
        <f aca="false">EDATE(A86,1)</f>
        <v>37469</v>
      </c>
      <c r="B87" s="1245" t="n">
        <f aca="false">'[3]Monthly Curve Calc.'!B90</f>
        <v>222.199536724104</v>
      </c>
      <c r="C87" s="1246" t="n">
        <f aca="false">'[3]Monthly Curve Calc.'!C90</f>
        <v>183.199476109434</v>
      </c>
      <c r="D87" s="1246" t="n">
        <f aca="false">'[3]Monthly Curve Calc.'!D90</f>
        <v>148.665202537257</v>
      </c>
      <c r="E87" s="1246" t="n">
        <f aca="false">'[3]Monthly Curve Calc.'!E90</f>
        <v>21.6013888888889</v>
      </c>
      <c r="F87" s="1247" t="n">
        <f aca="false">'[3]Monthly Curve Calc.'!F90</f>
        <v>2.07948509390801</v>
      </c>
      <c r="G87" s="1255" t="n">
        <f aca="false">IF(AND($A87&gt;G$16,MONTH($A87)=MONTH(G$16)),B86/B74,G86)</f>
        <v>1.08833077839898</v>
      </c>
      <c r="H87" s="1253" t="n">
        <f aca="false">IF(AND($A87&gt;H$16,MONTH($A87)=MONTH(H$16)),C86/C74,H86)</f>
        <v>1.03190910302395</v>
      </c>
      <c r="I87" s="1253" t="n">
        <f aca="false">IF(AND($A87&gt;I$16,MONTH($A87)=MONTH(I$16)),C86/C74-I$18,I86)</f>
        <v>1.02940910302395</v>
      </c>
      <c r="J87" s="1253" t="n">
        <f aca="false">IF(AND($A87&gt;J$16,MONTH($A87)=MONTH(J$16)),D86/D74,J86)</f>
        <v>1.0366708473794</v>
      </c>
      <c r="K87" s="1253" t="n">
        <f aca="false">IF($A87&gt;=K$16,IF(MONTH($A87)=MONTH(K$16),AVERAGE(E75:E86),K86),K86)</f>
        <v>24.6464930555556</v>
      </c>
      <c r="L87" s="1256" t="n">
        <f aca="false">IF($A87&gt;=L$16,IF(MONTH($A87)=MONTH(L$16),AVERAGE(F75:F86),L86),L86)</f>
        <v>1.90408231674455</v>
      </c>
      <c r="M87" s="1215" t="n">
        <f aca="false">M86+1</f>
        <v>75</v>
      </c>
      <c r="N87" s="1252" t="n">
        <f aca="false">HLOOKUP(N$14,Dec_Change,$M87)</f>
        <v>1.03190910302395</v>
      </c>
      <c r="O87" s="1253" t="n">
        <f aca="false">O86</f>
        <v>1.005</v>
      </c>
      <c r="P87" s="1256" t="n">
        <f aca="false">IF(AND($A87&gt;=P$16,MONTH($A87)=MONTH(P$16)),MAX(N87,O87)*P86,P86)</f>
        <v>1.13219066683837</v>
      </c>
    </row>
    <row r="88" customFormat="false" ht="12.75" hidden="false" customHeight="false" outlineLevel="0" collapsed="false">
      <c r="A88" s="1254" t="n">
        <f aca="false">EDATE(A87,1)</f>
        <v>37500</v>
      </c>
      <c r="B88" s="1245" t="n">
        <f aca="false">'[3]Monthly Curve Calc.'!B91</f>
        <v>223.715269389788</v>
      </c>
      <c r="C88" s="1246" t="n">
        <f aca="false">'[3]Monthly Curve Calc.'!C91</f>
        <v>183.657963234759</v>
      </c>
      <c r="D88" s="1246" t="n">
        <f aca="false">'[3]Monthly Curve Calc.'!D91</f>
        <v>149.036367519174</v>
      </c>
      <c r="E88" s="1246" t="n">
        <f aca="false">'[3]Monthly Curve Calc.'!E91</f>
        <v>21.4427083333333</v>
      </c>
      <c r="F88" s="1247" t="n">
        <f aca="false">'[3]Monthly Curve Calc.'!F91</f>
        <v>2.09072396575457</v>
      </c>
      <c r="G88" s="1255" t="n">
        <f aca="false">IF(AND($A88&gt;G$16,MONTH($A88)=MONTH(G$16)),B87/B75,G87)</f>
        <v>1.08833077839898</v>
      </c>
      <c r="H88" s="1253" t="n">
        <f aca="false">IF(AND($A88&gt;H$16,MONTH($A88)=MONTH(H$16)),C87/C75,H87)</f>
        <v>1.03190910302395</v>
      </c>
      <c r="I88" s="1253" t="n">
        <f aca="false">IF(AND($A88&gt;I$16,MONTH($A88)=MONTH(I$16)),C87/C75-I$18,I87)</f>
        <v>1.02940910302395</v>
      </c>
      <c r="J88" s="1253" t="n">
        <f aca="false">IF(AND($A88&gt;J$16,MONTH($A88)=MONTH(J$16)),D87/D75,J87)</f>
        <v>1.0366708473794</v>
      </c>
      <c r="K88" s="1253" t="n">
        <f aca="false">IF($A88&gt;=K$16,IF(MONTH($A88)=MONTH(K$16),AVERAGE(E76:E87),K87),K87)</f>
        <v>24.6464930555556</v>
      </c>
      <c r="L88" s="1256" t="n">
        <f aca="false">IF($A88&gt;=L$16,IF(MONTH($A88)=MONTH(L$16),AVERAGE(F76:F87),L87),L87)</f>
        <v>1.90408231674455</v>
      </c>
      <c r="M88" s="1215" t="n">
        <f aca="false">M87+1</f>
        <v>76</v>
      </c>
      <c r="N88" s="1252" t="n">
        <f aca="false">HLOOKUP(N$14,Dec_Change,$M88)</f>
        <v>1.03190910302395</v>
      </c>
      <c r="O88" s="1253" t="n">
        <f aca="false">O87</f>
        <v>1.005</v>
      </c>
      <c r="P88" s="1256" t="n">
        <f aca="false">IF(AND($A88&gt;=P$16,MONTH($A88)=MONTH(P$16)),MAX(N88,O88)*P87,P87)</f>
        <v>1.13219066683837</v>
      </c>
    </row>
    <row r="89" customFormat="false" ht="12.75" hidden="false" customHeight="false" outlineLevel="0" collapsed="false">
      <c r="A89" s="1254" t="n">
        <f aca="false">EDATE(A88,1)</f>
        <v>37530</v>
      </c>
      <c r="B89" s="1245" t="n">
        <f aca="false">'[3]Monthly Curve Calc.'!B92</f>
        <v>225.241341615795</v>
      </c>
      <c r="C89" s="1246" t="n">
        <f aca="false">'[3]Monthly Curve Calc.'!C92</f>
        <v>184.117597800287</v>
      </c>
      <c r="D89" s="1246" t="n">
        <f aca="false">'[3]Monthly Curve Calc.'!D92</f>
        <v>149.408459170153</v>
      </c>
      <c r="E89" s="1246" t="n">
        <f aca="false">'[3]Monthly Curve Calc.'!E92</f>
        <v>21.2840277777778</v>
      </c>
      <c r="F89" s="1247" t="n">
        <f aca="false">'[3]Monthly Curve Calc.'!F92</f>
        <v>2.10202357967654</v>
      </c>
      <c r="G89" s="1255" t="n">
        <f aca="false">IF(AND($A89&gt;G$16,MONTH($A89)=MONTH(G$16)),B88/B76,G88)</f>
        <v>1.08833077839898</v>
      </c>
      <c r="H89" s="1253" t="n">
        <f aca="false">IF(AND($A89&gt;H$16,MONTH($A89)=MONTH(H$16)),C88/C76,H88)</f>
        <v>1.03190910302395</v>
      </c>
      <c r="I89" s="1253" t="n">
        <f aca="false">IF(AND($A89&gt;I$16,MONTH($A89)=MONTH(I$16)),C88/C76-I$18,I88)</f>
        <v>1.02940910302395</v>
      </c>
      <c r="J89" s="1253" t="n">
        <f aca="false">IF(AND($A89&gt;J$16,MONTH($A89)=MONTH(J$16)),D88/D76,J88)</f>
        <v>1.0366708473794</v>
      </c>
      <c r="K89" s="1253" t="n">
        <f aca="false">IF($A89&gt;=K$16,IF(MONTH($A89)=MONTH(K$16),AVERAGE(E77:E88),K88),K88)</f>
        <v>24.6464930555556</v>
      </c>
      <c r="L89" s="1256" t="n">
        <f aca="false">IF($A89&gt;=L$16,IF(MONTH($A89)=MONTH(L$16),AVERAGE(F77:F88),L88),L88)</f>
        <v>1.90408231674455</v>
      </c>
      <c r="M89" s="1215" t="n">
        <f aca="false">M88+1</f>
        <v>77</v>
      </c>
      <c r="N89" s="1252" t="n">
        <f aca="false">HLOOKUP(N$14,Dec_Change,$M89)</f>
        <v>1.03190910302395</v>
      </c>
      <c r="O89" s="1253" t="n">
        <f aca="false">O88</f>
        <v>1.005</v>
      </c>
      <c r="P89" s="1256" t="n">
        <f aca="false">IF(AND($A89&gt;=P$16,MONTH($A89)=MONTH(P$16)),MAX(N89,O89)*P88,P88)</f>
        <v>1.13219066683837</v>
      </c>
    </row>
    <row r="90" customFormat="false" ht="12.75" hidden="false" customHeight="false" outlineLevel="0" collapsed="false">
      <c r="A90" s="1254" t="n">
        <f aca="false">EDATE(A89,1)</f>
        <v>37561</v>
      </c>
      <c r="B90" s="1245" t="n">
        <f aca="false">'[3]Monthly Curve Calc.'!B93</f>
        <v>226.777823933367</v>
      </c>
      <c r="C90" s="1246" t="n">
        <f aca="false">'[3]Monthly Curve Calc.'!C93</f>
        <v>184.578382677678</v>
      </c>
      <c r="D90" s="1246" t="n">
        <f aca="false">'[3]Monthly Curve Calc.'!D93</f>
        <v>149.781479803763</v>
      </c>
      <c r="E90" s="1246" t="n">
        <f aca="false">'[3]Monthly Curve Calc.'!E93</f>
        <v>21.1253472222222</v>
      </c>
      <c r="F90" s="1247" t="n">
        <f aca="false">'[3]Monthly Curve Calc.'!F93</f>
        <v>2.11338426396307</v>
      </c>
      <c r="G90" s="1255" t="n">
        <f aca="false">IF(AND($A90&gt;G$16,MONTH($A90)=MONTH(G$16)),B89/B77,G89)</f>
        <v>1.08833077839898</v>
      </c>
      <c r="H90" s="1253" t="n">
        <f aca="false">IF(AND($A90&gt;H$16,MONTH($A90)=MONTH(H$16)),C89/C77,H89)</f>
        <v>1.03190910302395</v>
      </c>
      <c r="I90" s="1253" t="n">
        <f aca="false">IF(AND($A90&gt;I$16,MONTH($A90)=MONTH(I$16)),C89/C77-I$18,I89)</f>
        <v>1.02940910302395</v>
      </c>
      <c r="J90" s="1253" t="n">
        <f aca="false">IF(AND($A90&gt;J$16,MONTH($A90)=MONTH(J$16)),D89/D77,J89)</f>
        <v>1.0366708473794</v>
      </c>
      <c r="K90" s="1253" t="n">
        <f aca="false">IF($A90&gt;=K$16,IF(MONTH($A90)=MONTH(K$16),AVERAGE(E78:E89),K89),K89)</f>
        <v>24.6464930555556</v>
      </c>
      <c r="L90" s="1256" t="n">
        <f aca="false">IF($A90&gt;=L$16,IF(MONTH($A90)=MONTH(L$16),AVERAGE(F78:F89),L89),L89)</f>
        <v>1.90408231674455</v>
      </c>
      <c r="M90" s="1215" t="n">
        <f aca="false">M89+1</f>
        <v>78</v>
      </c>
      <c r="N90" s="1252" t="n">
        <f aca="false">HLOOKUP(N$14,Dec_Change,$M90)</f>
        <v>1.03190910302395</v>
      </c>
      <c r="O90" s="1253" t="n">
        <f aca="false">O89</f>
        <v>1.005</v>
      </c>
      <c r="P90" s="1256" t="n">
        <f aca="false">IF(AND($A90&gt;=P$16,MONTH($A90)=MONTH(P$16)),MAX(N90,O90)*P89,P89)</f>
        <v>1.13219066683837</v>
      </c>
    </row>
    <row r="91" customFormat="false" ht="12.75" hidden="false" customHeight="false" outlineLevel="0" collapsed="false">
      <c r="A91" s="1254" t="n">
        <f aca="false">EDATE(A90,1)</f>
        <v>37591</v>
      </c>
      <c r="B91" s="1245" t="n">
        <f aca="false">'[3]Monthly Curve Calc.'!B94</f>
        <v>228.324787354876</v>
      </c>
      <c r="C91" s="1246" t="n">
        <f aca="false">'[3]Monthly Curve Calc.'!C94</f>
        <v>185.040320745779</v>
      </c>
      <c r="D91" s="1246" t="n">
        <f aca="false">'[3]Monthly Curve Calc.'!D94</f>
        <v>150.155431739348</v>
      </c>
      <c r="E91" s="1246" t="n">
        <f aca="false">'[3]Monthly Curve Calc.'!E94</f>
        <v>20.9666666666667</v>
      </c>
      <c r="F91" s="1247" t="n">
        <f aca="false">'[3]Monthly Curve Calc.'!F94</f>
        <v>2.12480634867759</v>
      </c>
      <c r="G91" s="1255" t="n">
        <f aca="false">IF(AND($A91&gt;G$16,MONTH($A91)=MONTH(G$16)),B90/B78,G90)</f>
        <v>1.08833077839898</v>
      </c>
      <c r="H91" s="1253" t="n">
        <f aca="false">IF(AND($A91&gt;H$16,MONTH($A91)=MONTH(H$16)),C90/C78,H90)</f>
        <v>1.03190910302395</v>
      </c>
      <c r="I91" s="1253" t="n">
        <f aca="false">IF(AND($A91&gt;I$16,MONTH($A91)=MONTH(I$16)),C90/C78-I$18,I90)</f>
        <v>1.02940910302395</v>
      </c>
      <c r="J91" s="1253" t="n">
        <f aca="false">IF(AND($A91&gt;J$16,MONTH($A91)=MONTH(J$16)),D90/D78,J90)</f>
        <v>1.0366708473794</v>
      </c>
      <c r="K91" s="1253" t="n">
        <f aca="false">IF($A91&gt;=K$16,IF(MONTH($A91)=MONTH(K$16),AVERAGE(E79:E90),K90),K90)</f>
        <v>24.6464930555556</v>
      </c>
      <c r="L91" s="1256" t="n">
        <f aca="false">IF($A91&gt;=L$16,IF(MONTH($A91)=MONTH(L$16),AVERAGE(F79:F90),L90),L90)</f>
        <v>1.90408231674455</v>
      </c>
      <c r="M91" s="1215" t="n">
        <f aca="false">M90+1</f>
        <v>79</v>
      </c>
      <c r="N91" s="1252" t="n">
        <f aca="false">HLOOKUP(N$14,Dec_Change,$M91)</f>
        <v>1.03190910302395</v>
      </c>
      <c r="O91" s="1253" t="n">
        <f aca="false">O90</f>
        <v>1.005</v>
      </c>
      <c r="P91" s="1256" t="n">
        <f aca="false">IF(AND($A91&gt;=P$16,MONTH($A91)=MONTH(P$16)),MAX(N91,O91)*P90,P90)</f>
        <v>1.13219066683837</v>
      </c>
    </row>
    <row r="92" customFormat="false" ht="12.75" hidden="false" customHeight="false" outlineLevel="0" collapsed="false">
      <c r="A92" s="1254" t="n">
        <f aca="false">EDATE(A91,1)</f>
        <v>37622</v>
      </c>
      <c r="B92" s="1245" t="n">
        <f aca="false">'[3]Monthly Curve Calc.'!B95</f>
        <v>229.793835911578</v>
      </c>
      <c r="C92" s="1246" t="n">
        <f aca="false">'[3]Monthly Curve Calc.'!C95</f>
        <v>185.488406521398</v>
      </c>
      <c r="D92" s="1246" t="n">
        <f aca="false">'[3]Monthly Curve Calc.'!D95</f>
        <v>150.500358235925</v>
      </c>
      <c r="E92" s="1246" t="n">
        <f aca="false">'[3]Monthly Curve Calc.'!E95</f>
        <v>20.8947916666667</v>
      </c>
      <c r="F92" s="1247" t="n">
        <f aca="false">'[3]Monthly Curve Calc.'!F95</f>
        <v>2.13087787834043</v>
      </c>
      <c r="G92" s="1255" t="n">
        <f aca="false">IF(AND($A92&gt;G$16,MONTH($A92)=MONTH(G$16)),B91/B79,G91)</f>
        <v>1.08833077839898</v>
      </c>
      <c r="H92" s="1253" t="n">
        <f aca="false">IF(AND($A92&gt;H$16,MONTH($A92)=MONTH(H$16)),C91/C79,H91)</f>
        <v>1.03190910302395</v>
      </c>
      <c r="I92" s="1253" t="n">
        <f aca="false">IF(AND($A92&gt;I$16,MONTH($A92)=MONTH(I$16)),C91/C79-I$18,I91)</f>
        <v>1.02940910302395</v>
      </c>
      <c r="J92" s="1253" t="n">
        <f aca="false">IF(AND($A92&gt;J$16,MONTH($A92)=MONTH(J$16)),D91/D79,J91)</f>
        <v>1.03037463858207</v>
      </c>
      <c r="K92" s="1253" t="n">
        <f aca="false">IF($A92&gt;=K$16,IF(MONTH($A92)=MONTH(K$16),AVERAGE(E80:E91),K91),K91)</f>
        <v>21.8394097222222</v>
      </c>
      <c r="L92" s="1256" t="n">
        <f aca="false">IF($A92&gt;=L$16,IF(MONTH($A92)=MONTH(L$16),AVERAGE(F80:F91),L91),L91)</f>
        <v>2.06309705851596</v>
      </c>
      <c r="M92" s="1215" t="n">
        <f aca="false">M91+1</f>
        <v>80</v>
      </c>
      <c r="N92" s="1252" t="n">
        <f aca="false">HLOOKUP(N$14,Dec_Change,$M92)</f>
        <v>1.03190910302395</v>
      </c>
      <c r="O92" s="1253" t="n">
        <f aca="false">O91</f>
        <v>1.005</v>
      </c>
      <c r="P92" s="1256" t="n">
        <f aca="false">IF(AND($A92&gt;=P$16,MONTH($A92)=MONTH(P$16)),MAX(N92,O92)*P91,P91)</f>
        <v>1.13219066683837</v>
      </c>
    </row>
    <row r="93" customFormat="false" ht="12.75" hidden="false" customHeight="false" outlineLevel="0" collapsed="false">
      <c r="A93" s="1254" t="n">
        <f aca="false">EDATE(A92,1)</f>
        <v>37653</v>
      </c>
      <c r="B93" s="1245" t="n">
        <f aca="false">'[3]Monthly Curve Calc.'!B96</f>
        <v>231.272336370926</v>
      </c>
      <c r="C93" s="1246" t="n">
        <f aca="false">'[3]Monthly Curve Calc.'!C96</f>
        <v>185.937577362486</v>
      </c>
      <c r="D93" s="1246" t="n">
        <f aca="false">'[3]Monthly Curve Calc.'!D96</f>
        <v>150.84607707339</v>
      </c>
      <c r="E93" s="1246" t="n">
        <f aca="false">'[3]Monthly Curve Calc.'!E96</f>
        <v>20.8229166666667</v>
      </c>
      <c r="F93" s="1247" t="n">
        <f aca="false">'[3]Monthly Curve Calc.'!F96</f>
        <v>2.13696675710073</v>
      </c>
      <c r="G93" s="1255" t="n">
        <f aca="false">IF(AND($A93&gt;G$16,MONTH($A93)=MONTH(G$16)),B92/B80,G92)</f>
        <v>1.08833077839898</v>
      </c>
      <c r="H93" s="1253" t="n">
        <f aca="false">IF(AND($A93&gt;H$16,MONTH($A93)=MONTH(H$16)),C92/C80,H92)</f>
        <v>1.03190910302395</v>
      </c>
      <c r="I93" s="1253" t="n">
        <f aca="false">IF(AND($A93&gt;I$16,MONTH($A93)=MONTH(I$16)),C92/C80-I$18,I92)</f>
        <v>1.02940910302395</v>
      </c>
      <c r="J93" s="1253" t="n">
        <f aca="false">IF(AND($A93&gt;J$16,MONTH($A93)=MONTH(J$16)),D92/D80,J92)</f>
        <v>1.03037463858207</v>
      </c>
      <c r="K93" s="1253" t="n">
        <f aca="false">IF($A93&gt;=K$16,IF(MONTH($A93)=MONTH(K$16),AVERAGE(E81:E92),K92),K92)</f>
        <v>21.8394097222222</v>
      </c>
      <c r="L93" s="1256" t="n">
        <f aca="false">IF($A93&gt;=L$16,IF(MONTH($A93)=MONTH(L$16),AVERAGE(F81:F92),L92),L92)</f>
        <v>2.06309705851596</v>
      </c>
      <c r="M93" s="1215" t="n">
        <f aca="false">M92+1</f>
        <v>81</v>
      </c>
      <c r="N93" s="1252" t="n">
        <f aca="false">HLOOKUP(N$14,Dec_Change,$M93)</f>
        <v>1.03190910302395</v>
      </c>
      <c r="O93" s="1253" t="n">
        <f aca="false">O92</f>
        <v>1.005</v>
      </c>
      <c r="P93" s="1256" t="n">
        <f aca="false">IF(AND($A93&gt;=P$16,MONTH($A93)=MONTH(P$16)),MAX(N93,O93)*P92,P92)</f>
        <v>1.13219066683837</v>
      </c>
    </row>
    <row r="94" customFormat="false" ht="12.75" hidden="false" customHeight="false" outlineLevel="0" collapsed="false">
      <c r="A94" s="1254" t="n">
        <f aca="false">EDATE(A93,1)</f>
        <v>37681</v>
      </c>
      <c r="B94" s="1245" t="n">
        <f aca="false">'[3]Monthly Curve Calc.'!B97</f>
        <v>232.760349546747</v>
      </c>
      <c r="C94" s="1246" t="n">
        <f aca="false">'[3]Monthly Curve Calc.'!C97</f>
        <v>186.38783589659</v>
      </c>
      <c r="D94" s="1246" t="n">
        <f aca="false">'[3]Monthly Curve Calc.'!D97</f>
        <v>151.192590071852</v>
      </c>
      <c r="E94" s="1246" t="n">
        <f aca="false">'[3]Monthly Curve Calc.'!E97</f>
        <v>20.7510416666667</v>
      </c>
      <c r="F94" s="1247" t="n">
        <f aca="false">'[3]Monthly Curve Calc.'!F97</f>
        <v>2.14307303453269</v>
      </c>
      <c r="G94" s="1255" t="n">
        <f aca="false">IF(AND($A94&gt;G$16,MONTH($A94)=MONTH(G$16)),B93/B81,G93)</f>
        <v>1.08833077839898</v>
      </c>
      <c r="H94" s="1253" t="n">
        <f aca="false">IF(AND($A94&gt;H$16,MONTH($A94)=MONTH(H$16)),C93/C81,H93)</f>
        <v>1.03190910302395</v>
      </c>
      <c r="I94" s="1253" t="n">
        <f aca="false">IF(AND($A94&gt;I$16,MONTH($A94)=MONTH(I$16)),C93/C81-I$18,I93)</f>
        <v>1.02940910302395</v>
      </c>
      <c r="J94" s="1253" t="n">
        <f aca="false">IF(AND($A94&gt;J$16,MONTH($A94)=MONTH(J$16)),D93/D81,J93)</f>
        <v>1.03037463858207</v>
      </c>
      <c r="K94" s="1253" t="n">
        <f aca="false">IF($A94&gt;=K$16,IF(MONTH($A94)=MONTH(K$16),AVERAGE(E82:E93),K93),K93)</f>
        <v>21.8394097222222</v>
      </c>
      <c r="L94" s="1256" t="n">
        <f aca="false">IF($A94&gt;=L$16,IF(MONTH($A94)=MONTH(L$16),AVERAGE(F82:F93),L93),L93)</f>
        <v>2.06309705851596</v>
      </c>
      <c r="M94" s="1215" t="n">
        <f aca="false">M93+1</f>
        <v>82</v>
      </c>
      <c r="N94" s="1252" t="n">
        <f aca="false">HLOOKUP(N$14,Dec_Change,$M94)</f>
        <v>1.03190910302395</v>
      </c>
      <c r="O94" s="1253" t="n">
        <f aca="false">O93</f>
        <v>1.005</v>
      </c>
      <c r="P94" s="1256" t="n">
        <f aca="false">IF(AND($A94&gt;=P$16,MONTH($A94)=MONTH(P$16)),MAX(N94,O94)*P93,P93)</f>
        <v>1.13219066683837</v>
      </c>
    </row>
    <row r="95" customFormat="false" ht="12.75" hidden="false" customHeight="false" outlineLevel="0" collapsed="false">
      <c r="A95" s="1254" t="n">
        <f aca="false">EDATE(A94,1)</f>
        <v>37712</v>
      </c>
      <c r="B95" s="1245" t="n">
        <f aca="false">'[3]Monthly Curve Calc.'!B98</f>
        <v>234.257936644146</v>
      </c>
      <c r="C95" s="1246" t="n">
        <f aca="false">'[3]Monthly Curve Calc.'!C98</f>
        <v>186.839184757623</v>
      </c>
      <c r="D95" s="1246" t="n">
        <f aca="false">'[3]Monthly Curve Calc.'!D98</f>
        <v>151.539899055602</v>
      </c>
      <c r="E95" s="1246" t="n">
        <f aca="false">'[3]Monthly Curve Calc.'!E98</f>
        <v>20.6791666666667</v>
      </c>
      <c r="F95" s="1247" t="n">
        <f aca="false">'[3]Monthly Curve Calc.'!F98</f>
        <v>2.14919676035217</v>
      </c>
      <c r="G95" s="1255" t="n">
        <f aca="false">IF(AND($A95&gt;G$16,MONTH($A95)=MONTH(G$16)),B94/B82,G94)</f>
        <v>1.08833077839898</v>
      </c>
      <c r="H95" s="1253" t="n">
        <f aca="false">IF(AND($A95&gt;H$16,MONTH($A95)=MONTH(H$16)),C94/C82,H94)</f>
        <v>1.03190910302395</v>
      </c>
      <c r="I95" s="1253" t="n">
        <f aca="false">IF(AND($A95&gt;I$16,MONTH($A95)=MONTH(I$16)),C94/C82-I$18,I94)</f>
        <v>1.02940910302395</v>
      </c>
      <c r="J95" s="1253" t="n">
        <f aca="false">IF(AND($A95&gt;J$16,MONTH($A95)=MONTH(J$16)),D94/D82,J94)</f>
        <v>1.03037463858207</v>
      </c>
      <c r="K95" s="1253" t="n">
        <f aca="false">IF($A95&gt;=K$16,IF(MONTH($A95)=MONTH(K$16),AVERAGE(E83:E94),K94),K94)</f>
        <v>21.8394097222222</v>
      </c>
      <c r="L95" s="1256" t="n">
        <f aca="false">IF($A95&gt;=L$16,IF(MONTH($A95)=MONTH(L$16),AVERAGE(F83:F94),L94),L94)</f>
        <v>2.06309705851596</v>
      </c>
      <c r="M95" s="1215" t="n">
        <f aca="false">M94+1</f>
        <v>83</v>
      </c>
      <c r="N95" s="1252" t="n">
        <f aca="false">HLOOKUP(N$14,Dec_Change,$M95)</f>
        <v>1.03190910302395</v>
      </c>
      <c r="O95" s="1253" t="n">
        <f aca="false">O94</f>
        <v>1.005</v>
      </c>
      <c r="P95" s="1256" t="n">
        <f aca="false">IF(AND($A95&gt;=P$16,MONTH($A95)=MONTH(P$16)),MAX(N95,O95)*P94,P94)</f>
        <v>1.13219066683837</v>
      </c>
    </row>
    <row r="96" customFormat="false" ht="12.75" hidden="false" customHeight="false" outlineLevel="0" collapsed="false">
      <c r="A96" s="1254" t="n">
        <f aca="false">EDATE(A95,1)</f>
        <v>37742</v>
      </c>
      <c r="B96" s="1245" t="n">
        <f aca="false">'[3]Monthly Curve Calc.'!B99</f>
        <v>235.765159262022</v>
      </c>
      <c r="C96" s="1246" t="n">
        <f aca="false">'[3]Monthly Curve Calc.'!C99</f>
        <v>187.291626585873</v>
      </c>
      <c r="D96" s="1246" t="n">
        <f aca="false">'[3]Monthly Curve Calc.'!D99</f>
        <v>151.888005853122</v>
      </c>
      <c r="E96" s="1246" t="n">
        <f aca="false">'[3]Monthly Curve Calc.'!E99</f>
        <v>20.6072916666667</v>
      </c>
      <c r="F96" s="1247" t="n">
        <f aca="false">'[3]Monthly Curve Calc.'!F99</f>
        <v>2.15533798441706</v>
      </c>
      <c r="G96" s="1255" t="n">
        <f aca="false">IF(AND($A96&gt;G$16,MONTH($A96)=MONTH(G$16)),B95/B83,G95)</f>
        <v>1.08333076659484</v>
      </c>
      <c r="H96" s="1253" t="n">
        <f aca="false">IF(AND($A96&gt;H$16,MONTH($A96)=MONTH(H$16)),C95/C83,H95)</f>
        <v>1.0301154037814</v>
      </c>
      <c r="I96" s="1253" t="n">
        <f aca="false">IF(AND($A96&gt;I$16,MONTH($A96)=MONTH(I$16)),C95/C83-I$18,I95)</f>
        <v>1.0276154037814</v>
      </c>
      <c r="J96" s="1253" t="n">
        <f aca="false">IF(AND($A96&gt;J$16,MONTH($A96)=MONTH(J$16)),D95/D83,J95)</f>
        <v>1.03037463858207</v>
      </c>
      <c r="K96" s="1253" t="n">
        <f aca="false">IF($A96&gt;=K$16,IF(MONTH($A96)=MONTH(K$16),AVERAGE(E84:E95),K95),K95)</f>
        <v>21.8394097222222</v>
      </c>
      <c r="L96" s="1256" t="n">
        <f aca="false">IF($A96&gt;=L$16,IF(MONTH($A96)=MONTH(L$16),AVERAGE(F84:F95),L95),L95)</f>
        <v>2.06309705851596</v>
      </c>
      <c r="M96" s="1215" t="n">
        <f aca="false">M95+1</f>
        <v>84</v>
      </c>
      <c r="N96" s="1252" t="n">
        <f aca="false">HLOOKUP(N$14,Dec_Change,$M96)</f>
        <v>1.0301154037814</v>
      </c>
      <c r="O96" s="1253" t="n">
        <f aca="false">O95</f>
        <v>1.005</v>
      </c>
      <c r="P96" s="1256" t="n">
        <f aca="false">IF(AND($A96&gt;=P$16,MONTH($A96)=MONTH(P$16)),MAX(N96,O96)*P95,P95)</f>
        <v>1.16628704592773</v>
      </c>
    </row>
    <row r="97" customFormat="false" ht="12.75" hidden="false" customHeight="false" outlineLevel="0" collapsed="false">
      <c r="A97" s="1254" t="n">
        <f aca="false">EDATE(A96,1)</f>
        <v>37773</v>
      </c>
      <c r="B97" s="1245" t="n">
        <f aca="false">'[3]Monthly Curve Calc.'!B100</f>
        <v>237.282079395603</v>
      </c>
      <c r="C97" s="1246" t="n">
        <f aca="false">'[3]Monthly Curve Calc.'!C100</f>
        <v>187.745164028023</v>
      </c>
      <c r="D97" s="1246" t="n">
        <f aca="false">'[3]Monthly Curve Calc.'!D100</f>
        <v>152.236912297093</v>
      </c>
      <c r="E97" s="1246" t="n">
        <f aca="false">'[3]Monthly Curve Calc.'!E100</f>
        <v>20.5354166666667</v>
      </c>
      <c r="F97" s="1247" t="n">
        <f aca="false">'[3]Monthly Curve Calc.'!F100</f>
        <v>2.16149675672775</v>
      </c>
      <c r="G97" s="1255" t="n">
        <f aca="false">IF(AND($A97&gt;G$16,MONTH($A97)=MONTH(G$16)),B96/B84,G96)</f>
        <v>1.08333076659484</v>
      </c>
      <c r="H97" s="1253" t="n">
        <f aca="false">IF(AND($A97&gt;H$16,MONTH($A97)=MONTH(H$16)),C96/C84,H96)</f>
        <v>1.0301154037814</v>
      </c>
      <c r="I97" s="1253" t="n">
        <f aca="false">IF(AND($A97&gt;I$16,MONTH($A97)=MONTH(I$16)),C96/C84-I$18,I96)</f>
        <v>1.0276154037814</v>
      </c>
      <c r="J97" s="1253" t="n">
        <f aca="false">IF(AND($A97&gt;J$16,MONTH($A97)=MONTH(J$16)),D96/D84,J96)</f>
        <v>1.03037463858207</v>
      </c>
      <c r="K97" s="1253" t="n">
        <f aca="false">IF($A97&gt;=K$16,IF(MONTH($A97)=MONTH(K$16),AVERAGE(E85:E96),K96),K96)</f>
        <v>21.8394097222222</v>
      </c>
      <c r="L97" s="1256" t="n">
        <f aca="false">IF($A97&gt;=L$16,IF(MONTH($A97)=MONTH(L$16),AVERAGE(F85:F96),L96),L96)</f>
        <v>2.06309705851596</v>
      </c>
      <c r="M97" s="1215" t="n">
        <f aca="false">M96+1</f>
        <v>85</v>
      </c>
      <c r="N97" s="1252" t="n">
        <f aca="false">HLOOKUP(N$14,Dec_Change,$M97)</f>
        <v>1.0301154037814</v>
      </c>
      <c r="O97" s="1253" t="n">
        <f aca="false">O96</f>
        <v>1.005</v>
      </c>
      <c r="P97" s="1256" t="n">
        <f aca="false">IF(AND($A97&gt;=P$16,MONTH($A97)=MONTH(P$16)),MAX(N97,O97)*P96,P96)</f>
        <v>1.16628704592773</v>
      </c>
    </row>
    <row r="98" customFormat="false" ht="12.75" hidden="false" customHeight="false" outlineLevel="0" collapsed="false">
      <c r="A98" s="1254" t="n">
        <f aca="false">EDATE(A97,1)</f>
        <v>37803</v>
      </c>
      <c r="B98" s="1245" t="n">
        <f aca="false">'[3]Monthly Curve Calc.'!B101</f>
        <v>238.808759438999</v>
      </c>
      <c r="C98" s="1246" t="n">
        <f aca="false">'[3]Monthly Curve Calc.'!C101</f>
        <v>188.199799737166</v>
      </c>
      <c r="D98" s="1246" t="n">
        <f aca="false">'[3]Monthly Curve Calc.'!D101</f>
        <v>152.586620224406</v>
      </c>
      <c r="E98" s="1246" t="n">
        <f aca="false">'[3]Monthly Curve Calc.'!E101</f>
        <v>20.4635416666667</v>
      </c>
      <c r="F98" s="1247" t="n">
        <f aca="false">'[3]Monthly Curve Calc.'!F101</f>
        <v>2.16767312742749</v>
      </c>
      <c r="G98" s="1255" t="n">
        <f aca="false">IF(AND($A98&gt;G$16,MONTH($A98)=MONTH(G$16)),B97/B85,G97)</f>
        <v>1.08333076659484</v>
      </c>
      <c r="H98" s="1253" t="n">
        <f aca="false">IF(AND($A98&gt;H$16,MONTH($A98)=MONTH(H$16)),C97/C85,H97)</f>
        <v>1.0301154037814</v>
      </c>
      <c r="I98" s="1253" t="n">
        <f aca="false">IF(AND($A98&gt;I$16,MONTH($A98)=MONTH(I$16)),C97/C85-I$18,I97)</f>
        <v>1.0276154037814</v>
      </c>
      <c r="J98" s="1253" t="n">
        <f aca="false">IF(AND($A98&gt;J$16,MONTH($A98)=MONTH(J$16)),D97/D85,J97)</f>
        <v>1.03037463858207</v>
      </c>
      <c r="K98" s="1253" t="n">
        <f aca="false">IF($A98&gt;=K$16,IF(MONTH($A98)=MONTH(K$16),AVERAGE(E86:E97),K97),K97)</f>
        <v>21.8394097222222</v>
      </c>
      <c r="L98" s="1256" t="n">
        <f aca="false">IF($A98&gt;=L$16,IF(MONTH($A98)=MONTH(L$16),AVERAGE(F86:F97),L97),L97)</f>
        <v>2.06309705851596</v>
      </c>
      <c r="M98" s="1215" t="n">
        <f aca="false">M97+1</f>
        <v>86</v>
      </c>
      <c r="N98" s="1252" t="n">
        <f aca="false">HLOOKUP(N$14,Dec_Change,$M98)</f>
        <v>1.0301154037814</v>
      </c>
      <c r="O98" s="1253" t="n">
        <f aca="false">O97</f>
        <v>1.005</v>
      </c>
      <c r="P98" s="1256" t="n">
        <f aca="false">IF(AND($A98&gt;=P$16,MONTH($A98)=MONTH(P$16)),MAX(N98,O98)*P97,P97)</f>
        <v>1.16628704592773</v>
      </c>
    </row>
    <row r="99" customFormat="false" ht="12.75" hidden="false" customHeight="false" outlineLevel="0" collapsed="false">
      <c r="A99" s="1254" t="n">
        <f aca="false">EDATE(A98,1)</f>
        <v>37834</v>
      </c>
      <c r="B99" s="1245" t="n">
        <f aca="false">'[3]Monthly Curve Calc.'!B102</f>
        <v>240.345262187762</v>
      </c>
      <c r="C99" s="1246" t="n">
        <f aca="false">'[3]Monthly Curve Calc.'!C102</f>
        <v>188.655536372818</v>
      </c>
      <c r="D99" s="1246" t="n">
        <f aca="false">'[3]Monthly Curve Calc.'!D102</f>
        <v>152.937131476173</v>
      </c>
      <c r="E99" s="1246" t="n">
        <f aca="false">'[3]Monthly Curve Calc.'!E102</f>
        <v>20.3916666666667</v>
      </c>
      <c r="F99" s="1247" t="n">
        <f aca="false">'[3]Monthly Curve Calc.'!F102</f>
        <v>2.17386714680281</v>
      </c>
      <c r="G99" s="1255" t="n">
        <f aca="false">IF(AND($A99&gt;G$16,MONTH($A99)=MONTH(G$16)),B98/B86,G98)</f>
        <v>1.08333076659484</v>
      </c>
      <c r="H99" s="1253" t="n">
        <f aca="false">IF(AND($A99&gt;H$16,MONTH($A99)=MONTH(H$16)),C98/C86,H98)</f>
        <v>1.0301154037814</v>
      </c>
      <c r="I99" s="1253" t="n">
        <f aca="false">IF(AND($A99&gt;I$16,MONTH($A99)=MONTH(I$16)),C98/C86-I$18,I98)</f>
        <v>1.0276154037814</v>
      </c>
      <c r="J99" s="1253" t="n">
        <f aca="false">IF(AND($A99&gt;J$16,MONTH($A99)=MONTH(J$16)),D98/D86,J98)</f>
        <v>1.03037463858207</v>
      </c>
      <c r="K99" s="1253" t="n">
        <f aca="false">IF($A99&gt;=K$16,IF(MONTH($A99)=MONTH(K$16),AVERAGE(E87:E98),K98),K98)</f>
        <v>21.8394097222222</v>
      </c>
      <c r="L99" s="1256" t="n">
        <f aca="false">IF($A99&gt;=L$16,IF(MONTH($A99)=MONTH(L$16),AVERAGE(F87:F98),L98),L98)</f>
        <v>2.06309705851596</v>
      </c>
      <c r="M99" s="1215" t="n">
        <f aca="false">M98+1</f>
        <v>87</v>
      </c>
      <c r="N99" s="1252" t="n">
        <f aca="false">HLOOKUP(N$14,Dec_Change,$M99)</f>
        <v>1.0301154037814</v>
      </c>
      <c r="O99" s="1253" t="n">
        <f aca="false">O98</f>
        <v>1.005</v>
      </c>
      <c r="P99" s="1256" t="n">
        <f aca="false">IF(AND($A99&gt;=P$16,MONTH($A99)=MONTH(P$16)),MAX(N99,O99)*P98,P98)</f>
        <v>1.16628704592773</v>
      </c>
    </row>
    <row r="100" customFormat="false" ht="12.75" hidden="false" customHeight="false" outlineLevel="0" collapsed="false">
      <c r="A100" s="1254" t="n">
        <f aca="false">EDATE(A99,1)</f>
        <v>37865</v>
      </c>
      <c r="B100" s="1245" t="n">
        <f aca="false">'[3]Monthly Curve Calc.'!B103</f>
        <v>241.891650841475</v>
      </c>
      <c r="C100" s="1246" t="n">
        <f aca="false">'[3]Monthly Curve Calc.'!C103</f>
        <v>189.112376600935</v>
      </c>
      <c r="D100" s="1246" t="n">
        <f aca="false">'[3]Monthly Curve Calc.'!D103</f>
        <v>153.288447897734</v>
      </c>
      <c r="E100" s="1246" t="n">
        <f aca="false">'[3]Monthly Curve Calc.'!E103</f>
        <v>20.3197916666667</v>
      </c>
      <c r="F100" s="1247" t="n">
        <f aca="false">'[3]Monthly Curve Calc.'!F103</f>
        <v>2.18007886528392</v>
      </c>
      <c r="G100" s="1255" t="n">
        <f aca="false">IF(AND($A100&gt;G$16,MONTH($A100)=MONTH(G$16)),B99/B87,G99)</f>
        <v>1.08333076659484</v>
      </c>
      <c r="H100" s="1253" t="n">
        <f aca="false">IF(AND($A100&gt;H$16,MONTH($A100)=MONTH(H$16)),C99/C87,H99)</f>
        <v>1.0301154037814</v>
      </c>
      <c r="I100" s="1253" t="n">
        <f aca="false">IF(AND($A100&gt;I$16,MONTH($A100)=MONTH(I$16)),C99/C87-I$18,I99)</f>
        <v>1.0276154037814</v>
      </c>
      <c r="J100" s="1253" t="n">
        <f aca="false">IF(AND($A100&gt;J$16,MONTH($A100)=MONTH(J$16)),D99/D87,J99)</f>
        <v>1.03037463858207</v>
      </c>
      <c r="K100" s="1253" t="n">
        <f aca="false">IF($A100&gt;=K$16,IF(MONTH($A100)=MONTH(K$16),AVERAGE(E88:E99),K99),K99)</f>
        <v>21.8394097222222</v>
      </c>
      <c r="L100" s="1256" t="n">
        <f aca="false">IF($A100&gt;=L$16,IF(MONTH($A100)=MONTH(L$16),AVERAGE(F88:F99),L99),L99)</f>
        <v>2.06309705851596</v>
      </c>
      <c r="M100" s="1215" t="n">
        <f aca="false">M99+1</f>
        <v>88</v>
      </c>
      <c r="N100" s="1252" t="n">
        <f aca="false">HLOOKUP(N$14,Dec_Change,$M100)</f>
        <v>1.0301154037814</v>
      </c>
      <c r="O100" s="1253" t="n">
        <f aca="false">O99</f>
        <v>1.005</v>
      </c>
      <c r="P100" s="1256" t="n">
        <f aca="false">IF(AND($A100&gt;=P$16,MONTH($A100)=MONTH(P$16)),MAX(N100,O100)*P99,P99)</f>
        <v>1.16628704592773</v>
      </c>
    </row>
    <row r="101" customFormat="false" ht="12.75" hidden="false" customHeight="false" outlineLevel="0" collapsed="false">
      <c r="A101" s="1254" t="n">
        <f aca="false">EDATE(A100,1)</f>
        <v>37895</v>
      </c>
      <c r="B101" s="1245" t="n">
        <f aca="false">'[3]Monthly Curve Calc.'!B104</f>
        <v>243.447989006347</v>
      </c>
      <c r="C101" s="1246" t="n">
        <f aca="false">'[3]Monthly Curve Calc.'!C104</f>
        <v>189.570323093932</v>
      </c>
      <c r="D101" s="1246" t="n">
        <f aca="false">'[3]Monthly Curve Calc.'!D104</f>
        <v>153.640571338669</v>
      </c>
      <c r="E101" s="1246" t="n">
        <f aca="false">'[3]Monthly Curve Calc.'!E104</f>
        <v>20.2479166666667</v>
      </c>
      <c r="F101" s="1247" t="n">
        <f aca="false">'[3]Monthly Curve Calc.'!F104</f>
        <v>2.18630833344516</v>
      </c>
      <c r="G101" s="1255" t="n">
        <f aca="false">IF(AND($A101&gt;G$16,MONTH($A101)=MONTH(G$16)),B100/B88,G100)</f>
        <v>1.08333076659484</v>
      </c>
      <c r="H101" s="1253" t="n">
        <f aca="false">IF(AND($A101&gt;H$16,MONTH($A101)=MONTH(H$16)),C100/C88,H100)</f>
        <v>1.0301154037814</v>
      </c>
      <c r="I101" s="1253" t="n">
        <f aca="false">IF(AND($A101&gt;I$16,MONTH($A101)=MONTH(I$16)),C100/C88-I$18,I100)</f>
        <v>1.0276154037814</v>
      </c>
      <c r="J101" s="1253" t="n">
        <f aca="false">IF(AND($A101&gt;J$16,MONTH($A101)=MONTH(J$16)),D100/D88,J100)</f>
        <v>1.03037463858207</v>
      </c>
      <c r="K101" s="1253" t="n">
        <f aca="false">IF($A101&gt;=K$16,IF(MONTH($A101)=MONTH(K$16),AVERAGE(E89:E100),K100),K100)</f>
        <v>21.8394097222222</v>
      </c>
      <c r="L101" s="1256" t="n">
        <f aca="false">IF($A101&gt;=L$16,IF(MONTH($A101)=MONTH(L$16),AVERAGE(F89:F100),L100),L100)</f>
        <v>2.06309705851596</v>
      </c>
      <c r="M101" s="1215" t="n">
        <f aca="false">M100+1</f>
        <v>89</v>
      </c>
      <c r="N101" s="1252" t="n">
        <f aca="false">HLOOKUP(N$14,Dec_Change,$M101)</f>
        <v>1.0301154037814</v>
      </c>
      <c r="O101" s="1253" t="n">
        <f aca="false">O100</f>
        <v>1.005</v>
      </c>
      <c r="P101" s="1256" t="n">
        <f aca="false">IF(AND($A101&gt;=P$16,MONTH($A101)=MONTH(P$16)),MAX(N101,O101)*P100,P100)</f>
        <v>1.16628704592773</v>
      </c>
    </row>
    <row r="102" customFormat="false" ht="12.75" hidden="false" customHeight="false" outlineLevel="0" collapsed="false">
      <c r="A102" s="1254" t="n">
        <f aca="false">EDATE(A101,1)</f>
        <v>37926</v>
      </c>
      <c r="B102" s="1245" t="n">
        <f aca="false">'[3]Monthly Curve Calc.'!B105</f>
        <v>245.014340697834</v>
      </c>
      <c r="C102" s="1246" t="n">
        <f aca="false">'[3]Monthly Curve Calc.'!C105</f>
        <v>190.02937853069</v>
      </c>
      <c r="D102" s="1246" t="n">
        <f aca="false">'[3]Monthly Curve Calc.'!D105</f>
        <v>153.993503652806</v>
      </c>
      <c r="E102" s="1246" t="n">
        <f aca="false">'[3]Monthly Curve Calc.'!E105</f>
        <v>20.1760416666667</v>
      </c>
      <c r="F102" s="1247" t="n">
        <f aca="false">'[3]Monthly Curve Calc.'!F105</f>
        <v>2.19255560200536</v>
      </c>
      <c r="G102" s="1255" t="n">
        <f aca="false">IF(AND($A102&gt;G$16,MONTH($A102)=MONTH(G$16)),B101/B89,G101)</f>
        <v>1.08333076659484</v>
      </c>
      <c r="H102" s="1253" t="n">
        <f aca="false">IF(AND($A102&gt;H$16,MONTH($A102)=MONTH(H$16)),C101/C89,H101)</f>
        <v>1.0301154037814</v>
      </c>
      <c r="I102" s="1253" t="n">
        <f aca="false">IF(AND($A102&gt;I$16,MONTH($A102)=MONTH(I$16)),C101/C89-I$18,I101)</f>
        <v>1.0276154037814</v>
      </c>
      <c r="J102" s="1253" t="n">
        <f aca="false">IF(AND($A102&gt;J$16,MONTH($A102)=MONTH(J$16)),D101/D89,J101)</f>
        <v>1.03037463858207</v>
      </c>
      <c r="K102" s="1253" t="n">
        <f aca="false">IF($A102&gt;=K$16,IF(MONTH($A102)=MONTH(K$16),AVERAGE(E90:E101),K101),K101)</f>
        <v>21.8394097222222</v>
      </c>
      <c r="L102" s="1256" t="n">
        <f aca="false">IF($A102&gt;=L$16,IF(MONTH($A102)=MONTH(L$16),AVERAGE(F90:F101),L101),L101)</f>
        <v>2.06309705851596</v>
      </c>
      <c r="M102" s="1215" t="n">
        <f aca="false">M101+1</f>
        <v>90</v>
      </c>
      <c r="N102" s="1252" t="n">
        <f aca="false">HLOOKUP(N$14,Dec_Change,$M102)</f>
        <v>1.0301154037814</v>
      </c>
      <c r="O102" s="1253" t="n">
        <f aca="false">O101</f>
        <v>1.005</v>
      </c>
      <c r="P102" s="1256" t="n">
        <f aca="false">IF(AND($A102&gt;=P$16,MONTH($A102)=MONTH(P$16)),MAX(N102,O102)*P101,P101)</f>
        <v>1.16628704592773</v>
      </c>
    </row>
    <row r="103" customFormat="false" ht="12.75" hidden="false" customHeight="false" outlineLevel="0" collapsed="false">
      <c r="A103" s="1254" t="n">
        <f aca="false">EDATE(A102,1)</f>
        <v>37956</v>
      </c>
      <c r="B103" s="1245" t="n">
        <f aca="false">'[3]Monthly Curve Calc.'!B106</f>
        <v>246.590770343266</v>
      </c>
      <c r="C103" s="1246" t="n">
        <f aca="false">'[3]Monthly Curve Calc.'!C106</f>
        <v>190.489545596583</v>
      </c>
      <c r="D103" s="1246" t="n">
        <f aca="false">'[3]Monthly Curve Calc.'!D106</f>
        <v>154.347246698232</v>
      </c>
      <c r="E103" s="1246" t="n">
        <f aca="false">'[3]Monthly Curve Calc.'!E106</f>
        <v>20.1041666666667</v>
      </c>
      <c r="F103" s="1247" t="n">
        <f aca="false">'[3]Monthly Curve Calc.'!F106</f>
        <v>2.19882072182829</v>
      </c>
      <c r="G103" s="1255" t="n">
        <f aca="false">IF(AND($A103&gt;G$16,MONTH($A103)=MONTH(G$16)),B102/B90,G102)</f>
        <v>1.08333076659484</v>
      </c>
      <c r="H103" s="1253" t="n">
        <f aca="false">IF(AND($A103&gt;H$16,MONTH($A103)=MONTH(H$16)),C102/C90,H102)</f>
        <v>1.0301154037814</v>
      </c>
      <c r="I103" s="1253" t="n">
        <f aca="false">IF(AND($A103&gt;I$16,MONTH($A103)=MONTH(I$16)),C102/C90-I$18,I102)</f>
        <v>1.0276154037814</v>
      </c>
      <c r="J103" s="1253" t="n">
        <f aca="false">IF(AND($A103&gt;J$16,MONTH($A103)=MONTH(J$16)),D102/D90,J102)</f>
        <v>1.03037463858207</v>
      </c>
      <c r="K103" s="1253" t="n">
        <f aca="false">IF($A103&gt;=K$16,IF(MONTH($A103)=MONTH(K$16),AVERAGE(E91:E102),K102),K102)</f>
        <v>21.8394097222222</v>
      </c>
      <c r="L103" s="1256" t="n">
        <f aca="false">IF($A103&gt;=L$16,IF(MONTH($A103)=MONTH(L$16),AVERAGE(F91:F102),L102),L102)</f>
        <v>2.06309705851596</v>
      </c>
      <c r="M103" s="1215" t="n">
        <f aca="false">M102+1</f>
        <v>91</v>
      </c>
      <c r="N103" s="1252" t="n">
        <f aca="false">HLOOKUP(N$14,Dec_Change,$M103)</f>
        <v>1.0301154037814</v>
      </c>
      <c r="O103" s="1253" t="n">
        <f aca="false">O102</f>
        <v>1.005</v>
      </c>
      <c r="P103" s="1256" t="n">
        <f aca="false">IF(AND($A103&gt;=P$16,MONTH($A103)=MONTH(P$16)),MAX(N103,O103)*P102,P102)</f>
        <v>1.16628704592773</v>
      </c>
    </row>
    <row r="104" customFormat="false" ht="12.75" hidden="false" customHeight="false" outlineLevel="0" collapsed="false">
      <c r="A104" s="1254" t="n">
        <f aca="false">EDATE(A103,1)</f>
        <v>37987</v>
      </c>
      <c r="B104" s="1245" t="n">
        <f aca="false">'[3]Monthly Curve Calc.'!B107</f>
        <v>248.177342784504</v>
      </c>
      <c r="C104" s="1246" t="n">
        <f aca="false">'[3]Monthly Curve Calc.'!C107</f>
        <v>190.939552895467</v>
      </c>
      <c r="D104" s="1246" t="n">
        <f aca="false">'[3]Monthly Curve Calc.'!D107</f>
        <v>154.678738625621</v>
      </c>
      <c r="E104" s="1246" t="n">
        <f aca="false">'[3]Monthly Curve Calc.'!E107</f>
        <v>20.0728125</v>
      </c>
      <c r="F104" s="1247" t="n">
        <f aca="false">'[3]Monthly Curve Calc.'!F107</f>
        <v>2.20450306493358</v>
      </c>
      <c r="G104" s="1255" t="n">
        <f aca="false">IF(AND($A104&gt;G$16,MONTH($A104)=MONTH(G$16)),B103/B91,G103)</f>
        <v>1.08333076659484</v>
      </c>
      <c r="H104" s="1253" t="n">
        <f aca="false">IF(AND($A104&gt;H$16,MONTH($A104)=MONTH(H$16)),C103/C91,H103)</f>
        <v>1.0301154037814</v>
      </c>
      <c r="I104" s="1253" t="n">
        <f aca="false">IF(AND($A104&gt;I$16,MONTH($A104)=MONTH(I$16)),C103/C91-I$18,I103)</f>
        <v>1.0276154037814</v>
      </c>
      <c r="J104" s="1253" t="n">
        <f aca="false">IF(AND($A104&gt;J$16,MONTH($A104)=MONTH(J$16)),D103/D91,J103)</f>
        <v>1.02791650565236</v>
      </c>
      <c r="K104" s="1253" t="n">
        <f aca="false">IF($A104&gt;=K$16,IF(MONTH($A104)=MONTH(K$16),AVERAGE(E92:E103),K103),K103)</f>
        <v>20.4994791666667</v>
      </c>
      <c r="L104" s="1256" t="n">
        <f aca="false">IF($A104&gt;=L$16,IF(MONTH($A104)=MONTH(L$16),AVERAGE(F92:F103),L103),L103)</f>
        <v>2.16468774735532</v>
      </c>
      <c r="M104" s="1215" t="n">
        <f aca="false">M103+1</f>
        <v>92</v>
      </c>
      <c r="N104" s="1252" t="n">
        <f aca="false">HLOOKUP(N$14,Dec_Change,$M104)</f>
        <v>1.0301154037814</v>
      </c>
      <c r="O104" s="1253" t="n">
        <f aca="false">O103</f>
        <v>1.005</v>
      </c>
      <c r="P104" s="1256" t="n">
        <f aca="false">IF(AND($A104&gt;=P$16,MONTH($A104)=MONTH(P$16)),MAX(N104,O104)*P103,P103)</f>
        <v>1.16628704592773</v>
      </c>
    </row>
    <row r="105" customFormat="false" ht="12.75" hidden="false" customHeight="false" outlineLevel="0" collapsed="false">
      <c r="A105" s="1254" t="n">
        <f aca="false">EDATE(A104,1)</f>
        <v>38018</v>
      </c>
      <c r="B105" s="1245" t="n">
        <f aca="false">'[3]Monthly Curve Calc.'!B108</f>
        <v>249.7741232806</v>
      </c>
      <c r="C105" s="1246" t="n">
        <f aca="false">'[3]Monthly Curve Calc.'!C108</f>
        <v>191.3906232793</v>
      </c>
      <c r="D105" s="1246" t="n">
        <f aca="false">'[3]Monthly Curve Calc.'!D108</f>
        <v>155.010942498964</v>
      </c>
      <c r="E105" s="1246" t="n">
        <f aca="false">'[3]Monthly Curve Calc.'!E108</f>
        <v>20.0414583333333</v>
      </c>
      <c r="F105" s="1247" t="n">
        <f aca="false">'[3]Monthly Curve Calc.'!F108</f>
        <v>2.21020009273911</v>
      </c>
      <c r="G105" s="1255" t="n">
        <f aca="false">IF(AND($A105&gt;G$16,MONTH($A105)=MONTH(G$16)),B104/B92,G104)</f>
        <v>1.08333076659484</v>
      </c>
      <c r="H105" s="1253" t="n">
        <f aca="false">IF(AND($A105&gt;H$16,MONTH($A105)=MONTH(H$16)),C104/C92,H104)</f>
        <v>1.0301154037814</v>
      </c>
      <c r="I105" s="1253" t="n">
        <f aca="false">IF(AND($A105&gt;I$16,MONTH($A105)=MONTH(I$16)),C104/C92-I$18,I104)</f>
        <v>1.0276154037814</v>
      </c>
      <c r="J105" s="1253" t="n">
        <f aca="false">IF(AND($A105&gt;J$16,MONTH($A105)=MONTH(J$16)),D104/D92,J104)</f>
        <v>1.02791650565236</v>
      </c>
      <c r="K105" s="1253" t="n">
        <f aca="false">IF($A105&gt;=K$16,IF(MONTH($A105)=MONTH(K$16),AVERAGE(E93:E104),K104),K104)</f>
        <v>20.4994791666667</v>
      </c>
      <c r="L105" s="1256" t="n">
        <f aca="false">IF($A105&gt;=L$16,IF(MONTH($A105)=MONTH(L$16),AVERAGE(F93:F104),L104),L104)</f>
        <v>2.16468774735532</v>
      </c>
      <c r="M105" s="1215" t="n">
        <f aca="false">M104+1</f>
        <v>93</v>
      </c>
      <c r="N105" s="1252" t="n">
        <f aca="false">HLOOKUP(N$14,Dec_Change,$M105)</f>
        <v>1.0301154037814</v>
      </c>
      <c r="O105" s="1253" t="n">
        <f aca="false">O104</f>
        <v>1.005</v>
      </c>
      <c r="P105" s="1256" t="n">
        <f aca="false">IF(AND($A105&gt;=P$16,MONTH($A105)=MONTH(P$16)),MAX(N105,O105)*P104,P104)</f>
        <v>1.16628704592773</v>
      </c>
    </row>
    <row r="106" customFormat="false" ht="12.75" hidden="false" customHeight="false" outlineLevel="0" collapsed="false">
      <c r="A106" s="1254" t="n">
        <f aca="false">EDATE(A105,1)</f>
        <v>38047</v>
      </c>
      <c r="B106" s="1245" t="n">
        <f aca="false">'[3]Monthly Curve Calc.'!B109</f>
        <v>251.381177510487</v>
      </c>
      <c r="C106" s="1246" t="n">
        <f aca="false">'[3]Monthly Curve Calc.'!C109</f>
        <v>191.842759259487</v>
      </c>
      <c r="D106" s="1246" t="n">
        <f aca="false">'[3]Monthly Curve Calc.'!D109</f>
        <v>155.343859847311</v>
      </c>
      <c r="E106" s="1246" t="n">
        <f aca="false">'[3]Monthly Curve Calc.'!E109</f>
        <v>20.0101041666667</v>
      </c>
      <c r="F106" s="1247" t="n">
        <f aca="false">'[3]Monthly Curve Calc.'!F109</f>
        <v>2.21591184319408</v>
      </c>
      <c r="G106" s="1255" t="n">
        <f aca="false">IF(AND($A106&gt;G$16,MONTH($A106)=MONTH(G$16)),B105/B93,G105)</f>
        <v>1.08333076659484</v>
      </c>
      <c r="H106" s="1253" t="n">
        <f aca="false">IF(AND($A106&gt;H$16,MONTH($A106)=MONTH(H$16)),C105/C93,H105)</f>
        <v>1.0301154037814</v>
      </c>
      <c r="I106" s="1253" t="n">
        <f aca="false">IF(AND($A106&gt;I$16,MONTH($A106)=MONTH(I$16)),C105/C93-I$18,I105)</f>
        <v>1.0276154037814</v>
      </c>
      <c r="J106" s="1253" t="n">
        <f aca="false">IF(AND($A106&gt;J$16,MONTH($A106)=MONTH(J$16)),D105/D93,J105)</f>
        <v>1.02791650565236</v>
      </c>
      <c r="K106" s="1253" t="n">
        <f aca="false">IF($A106&gt;=K$16,IF(MONTH($A106)=MONTH(K$16),AVERAGE(E94:E105),K105),K105)</f>
        <v>20.4994791666667</v>
      </c>
      <c r="L106" s="1256" t="n">
        <f aca="false">IF($A106&gt;=L$16,IF(MONTH($A106)=MONTH(L$16),AVERAGE(F94:F105),L105),L105)</f>
        <v>2.16468774735532</v>
      </c>
      <c r="M106" s="1215" t="n">
        <f aca="false">M105+1</f>
        <v>94</v>
      </c>
      <c r="N106" s="1252" t="n">
        <f aca="false">HLOOKUP(N$14,Dec_Change,$M106)</f>
        <v>1.0301154037814</v>
      </c>
      <c r="O106" s="1253" t="n">
        <f aca="false">O105</f>
        <v>1.005</v>
      </c>
      <c r="P106" s="1256" t="n">
        <f aca="false">IF(AND($A106&gt;=P$16,MONTH($A106)=MONTH(P$16)),MAX(N106,O106)*P105,P105)</f>
        <v>1.16628704592773</v>
      </c>
    </row>
    <row r="107" customFormat="false" ht="12.75" hidden="false" customHeight="false" outlineLevel="0" collapsed="false">
      <c r="A107" s="1254" t="n">
        <f aca="false">EDATE(A106,1)</f>
        <v>38078</v>
      </c>
      <c r="B107" s="1245" t="n">
        <f aca="false">'[3]Monthly Curve Calc.'!B110</f>
        <v>252.998571575677</v>
      </c>
      <c r="C107" s="1246" t="n">
        <f aca="false">'[3]Monthly Curve Calc.'!C110</f>
        <v>192.295963353362</v>
      </c>
      <c r="D107" s="1246" t="n">
        <f aca="false">'[3]Monthly Curve Calc.'!D110</f>
        <v>155.677492202992</v>
      </c>
      <c r="E107" s="1246" t="n">
        <f aca="false">'[3]Monthly Curve Calc.'!E110</f>
        <v>19.97875</v>
      </c>
      <c r="F107" s="1247" t="n">
        <f aca="false">'[3]Monthly Curve Calc.'!F110</f>
        <v>2.22163835434577</v>
      </c>
      <c r="G107" s="1255" t="n">
        <f aca="false">IF(AND($A107&gt;G$16,MONTH($A107)=MONTH(G$16)),B106/B94,G106)</f>
        <v>1.08333076659484</v>
      </c>
      <c r="H107" s="1253" t="n">
        <f aca="false">IF(AND($A107&gt;H$16,MONTH($A107)=MONTH(H$16)),C106/C94,H106)</f>
        <v>1.0301154037814</v>
      </c>
      <c r="I107" s="1253" t="n">
        <f aca="false">IF(AND($A107&gt;I$16,MONTH($A107)=MONTH(I$16)),C106/C94-I$18,I106)</f>
        <v>1.0276154037814</v>
      </c>
      <c r="J107" s="1253" t="n">
        <f aca="false">IF(AND($A107&gt;J$16,MONTH($A107)=MONTH(J$16)),D106/D94,J106)</f>
        <v>1.02791650565236</v>
      </c>
      <c r="K107" s="1253" t="n">
        <f aca="false">IF($A107&gt;=K$16,IF(MONTH($A107)=MONTH(K$16),AVERAGE(E95:E106),K106),K106)</f>
        <v>20.4994791666667</v>
      </c>
      <c r="L107" s="1256" t="n">
        <f aca="false">IF($A107&gt;=L$16,IF(MONTH($A107)=MONTH(L$16),AVERAGE(F95:F106),L106),L106)</f>
        <v>2.16468774735532</v>
      </c>
      <c r="M107" s="1215" t="n">
        <f aca="false">M106+1</f>
        <v>95</v>
      </c>
      <c r="N107" s="1252" t="n">
        <f aca="false">HLOOKUP(N$14,Dec_Change,$M107)</f>
        <v>1.0301154037814</v>
      </c>
      <c r="O107" s="1253" t="n">
        <f aca="false">O106</f>
        <v>1.005</v>
      </c>
      <c r="P107" s="1256" t="n">
        <f aca="false">IF(AND($A107&gt;=P$16,MONTH($A107)=MONTH(P$16)),MAX(N107,O107)*P106,P106)</f>
        <v>1.16628704592773</v>
      </c>
    </row>
    <row r="108" customFormat="false" ht="12.75" hidden="false" customHeight="false" outlineLevel="0" collapsed="false">
      <c r="A108" s="1254" t="n">
        <f aca="false">EDATE(A107,1)</f>
        <v>38108</v>
      </c>
      <c r="B108" s="1245" t="n">
        <f aca="false">'[3]Monthly Curve Calc.'!B111</f>
        <v>254.626372002983</v>
      </c>
      <c r="C108" s="1246" t="n">
        <f aca="false">'[3]Monthly Curve Calc.'!C111</f>
        <v>192.750238084208</v>
      </c>
      <c r="D108" s="1246" t="n">
        <f aca="false">'[3]Monthly Curve Calc.'!D111</f>
        <v>156.01184110163</v>
      </c>
      <c r="E108" s="1246" t="n">
        <f aca="false">'[3]Monthly Curve Calc.'!E111</f>
        <v>19.9473958333333</v>
      </c>
      <c r="F108" s="1247" t="n">
        <f aca="false">'[3]Monthly Curve Calc.'!F111</f>
        <v>2.22737966433978</v>
      </c>
      <c r="G108" s="1255" t="n">
        <f aca="false">IF(AND($A108&gt;G$16,MONTH($A108)=MONTH(G$16)),B107/B95,G107)</f>
        <v>1.08</v>
      </c>
      <c r="H108" s="1253" t="n">
        <f aca="false">IF(AND($A108&gt;H$16,MONTH($A108)=MONTH(H$16)),C107/C95,H107)</f>
        <v>1.02920575040411</v>
      </c>
      <c r="I108" s="1253" t="n">
        <f aca="false">IF(AND($A108&gt;I$16,MONTH($A108)=MONTH(I$16)),C107/C95-I$18,I107)</f>
        <v>1.02670575040411</v>
      </c>
      <c r="J108" s="1253" t="n">
        <f aca="false">IF(AND($A108&gt;J$16,MONTH($A108)=MONTH(J$16)),D107/D95,J107)</f>
        <v>1.02791650565236</v>
      </c>
      <c r="K108" s="1253" t="n">
        <f aca="false">IF($A108&gt;=K$16,IF(MONTH($A108)=MONTH(K$16),AVERAGE(E96:E107),K107),K107)</f>
        <v>20.4994791666667</v>
      </c>
      <c r="L108" s="1256" t="n">
        <f aca="false">IF($A108&gt;=L$16,IF(MONTH($A108)=MONTH(L$16),AVERAGE(F96:F107),L107),L107)</f>
        <v>2.16468774735532</v>
      </c>
      <c r="M108" s="1215" t="n">
        <f aca="false">M107+1</f>
        <v>96</v>
      </c>
      <c r="N108" s="1252" t="n">
        <f aca="false">HLOOKUP(N$14,Dec_Change,$M108)</f>
        <v>1.02920575040411</v>
      </c>
      <c r="O108" s="1253" t="n">
        <f aca="false">O107</f>
        <v>1.005</v>
      </c>
      <c r="P108" s="1256" t="n">
        <f aca="false">IF(AND($A108&gt;=P$16,MONTH($A108)=MONTH(P$16)),MAX(N108,O108)*P107,P107)</f>
        <v>1.20034933429065</v>
      </c>
    </row>
    <row r="109" customFormat="false" ht="12.75" hidden="false" customHeight="false" outlineLevel="0" collapsed="false">
      <c r="A109" s="1254" t="n">
        <f aca="false">EDATE(A108,1)</f>
        <v>38139</v>
      </c>
      <c r="B109" s="1245" t="n">
        <f aca="false">'[3]Monthly Curve Calc.'!B112</f>
        <v>256.264645747251</v>
      </c>
      <c r="C109" s="1246" t="n">
        <f aca="false">'[3]Monthly Curve Calc.'!C112</f>
        <v>193.205585981269</v>
      </c>
      <c r="D109" s="1246" t="n">
        <f aca="false">'[3]Monthly Curve Calc.'!D112</f>
        <v>156.346908082147</v>
      </c>
      <c r="E109" s="1246" t="n">
        <f aca="false">'[3]Monthly Curve Calc.'!E112</f>
        <v>19.9160416666667</v>
      </c>
      <c r="F109" s="1247" t="n">
        <f aca="false">'[3]Monthly Curve Calc.'!F112</f>
        <v>2.23313581142029</v>
      </c>
      <c r="G109" s="1255" t="n">
        <f aca="false">IF(AND($A109&gt;G$16,MONTH($A109)=MONTH(G$16)),B108/B96,G108)</f>
        <v>1.08</v>
      </c>
      <c r="H109" s="1253" t="n">
        <f aca="false">IF(AND($A109&gt;H$16,MONTH($A109)=MONTH(H$16)),C108/C96,H108)</f>
        <v>1.02920575040411</v>
      </c>
      <c r="I109" s="1253" t="n">
        <f aca="false">IF(AND($A109&gt;I$16,MONTH($A109)=MONTH(I$16)),C108/C96-I$18,I108)</f>
        <v>1.02670575040411</v>
      </c>
      <c r="J109" s="1253" t="n">
        <f aca="false">IF(AND($A109&gt;J$16,MONTH($A109)=MONTH(J$16)),D108/D96,J108)</f>
        <v>1.02791650565236</v>
      </c>
      <c r="K109" s="1253" t="n">
        <f aca="false">IF($A109&gt;=K$16,IF(MONTH($A109)=MONTH(K$16),AVERAGE(E97:E108),K108),K108)</f>
        <v>20.4994791666667</v>
      </c>
      <c r="L109" s="1256" t="n">
        <f aca="false">IF($A109&gt;=L$16,IF(MONTH($A109)=MONTH(L$16),AVERAGE(F97:F108),L108),L108)</f>
        <v>2.16468774735532</v>
      </c>
      <c r="M109" s="1215" t="n">
        <f aca="false">M108+1</f>
        <v>97</v>
      </c>
      <c r="N109" s="1252" t="n">
        <f aca="false">HLOOKUP(N$14,Dec_Change,$M109)</f>
        <v>1.02920575040411</v>
      </c>
      <c r="O109" s="1253" t="n">
        <f aca="false">O108</f>
        <v>1.005</v>
      </c>
      <c r="P109" s="1256" t="n">
        <f aca="false">IF(AND($A109&gt;=P$16,MONTH($A109)=MONTH(P$16)),MAX(N109,O109)*P108,P108)</f>
        <v>1.20034933429065</v>
      </c>
    </row>
    <row r="110" customFormat="false" ht="12.75" hidden="false" customHeight="false" outlineLevel="0" collapsed="false">
      <c r="A110" s="1254" t="n">
        <f aca="false">EDATE(A109,1)</f>
        <v>38169</v>
      </c>
      <c r="B110" s="1245" t="n">
        <f aca="false">'[3]Monthly Curve Calc.'!B113</f>
        <v>257.913460194119</v>
      </c>
      <c r="C110" s="1246" t="n">
        <f aca="false">'[3]Monthly Curve Calc.'!C113</f>
        <v>193.662009579763</v>
      </c>
      <c r="D110" s="1246" t="n">
        <f aca="false">'[3]Monthly Curve Calc.'!D113</f>
        <v>156.682694686768</v>
      </c>
      <c r="E110" s="1246" t="n">
        <f aca="false">'[3]Monthly Curve Calc.'!E113</f>
        <v>19.8846875</v>
      </c>
      <c r="F110" s="1247" t="n">
        <f aca="false">'[3]Monthly Curve Calc.'!F113</f>
        <v>2.23890683393033</v>
      </c>
      <c r="G110" s="1255" t="n">
        <f aca="false">IF(AND($A110&gt;G$16,MONTH($A110)=MONTH(G$16)),B109/B97,G109)</f>
        <v>1.08</v>
      </c>
      <c r="H110" s="1253" t="n">
        <f aca="false">IF(AND($A110&gt;H$16,MONTH($A110)=MONTH(H$16)),C109/C97,H109)</f>
        <v>1.02920575040411</v>
      </c>
      <c r="I110" s="1253" t="n">
        <f aca="false">IF(AND($A110&gt;I$16,MONTH($A110)=MONTH(I$16)),C109/C97-I$18,I109)</f>
        <v>1.02670575040411</v>
      </c>
      <c r="J110" s="1253" t="n">
        <f aca="false">IF(AND($A110&gt;J$16,MONTH($A110)=MONTH(J$16)),D109/D97,J109)</f>
        <v>1.02791650565236</v>
      </c>
      <c r="K110" s="1253" t="n">
        <f aca="false">IF($A110&gt;=K$16,IF(MONTH($A110)=MONTH(K$16),AVERAGE(E98:E109),K109),K109)</f>
        <v>20.4994791666667</v>
      </c>
      <c r="L110" s="1256" t="n">
        <f aca="false">IF($A110&gt;=L$16,IF(MONTH($A110)=MONTH(L$16),AVERAGE(F98:F109),L109),L109)</f>
        <v>2.16468774735532</v>
      </c>
      <c r="M110" s="1215" t="n">
        <f aca="false">M109+1</f>
        <v>98</v>
      </c>
      <c r="N110" s="1252" t="n">
        <f aca="false">HLOOKUP(N$14,Dec_Change,$M110)</f>
        <v>1.02920575040411</v>
      </c>
      <c r="O110" s="1253" t="n">
        <f aca="false">O109</f>
        <v>1.005</v>
      </c>
      <c r="P110" s="1256" t="n">
        <f aca="false">IF(AND($A110&gt;=P$16,MONTH($A110)=MONTH(P$16)),MAX(N110,O110)*P109,P109)</f>
        <v>1.20034933429065</v>
      </c>
    </row>
    <row r="111" customFormat="false" ht="12.75" hidden="false" customHeight="false" outlineLevel="0" collapsed="false">
      <c r="A111" s="1254" t="n">
        <f aca="false">EDATE(A110,1)</f>
        <v>38200</v>
      </c>
      <c r="B111" s="1245" t="n">
        <f aca="false">'[3]Monthly Curve Calc.'!B114</f>
        <v>259.572883162783</v>
      </c>
      <c r="C111" s="1246" t="n">
        <f aca="false">'[3]Monthly Curve Calc.'!C114</f>
        <v>194.119511420898</v>
      </c>
      <c r="D111" s="1246" t="n">
        <f aca="false">'[3]Monthly Curve Calc.'!D114</f>
        <v>157.019202461032</v>
      </c>
      <c r="E111" s="1246" t="n">
        <f aca="false">'[3]Monthly Curve Calc.'!E114</f>
        <v>19.8533333333333</v>
      </c>
      <c r="F111" s="1247" t="n">
        <f aca="false">'[3]Monthly Curve Calc.'!F114</f>
        <v>2.24469277031199</v>
      </c>
      <c r="G111" s="1255" t="n">
        <f aca="false">IF(AND($A111&gt;G$16,MONTH($A111)=MONTH(G$16)),B110/B98,G110)</f>
        <v>1.08</v>
      </c>
      <c r="H111" s="1253" t="n">
        <f aca="false">IF(AND($A111&gt;H$16,MONTH($A111)=MONTH(H$16)),C110/C98,H110)</f>
        <v>1.02920575040411</v>
      </c>
      <c r="I111" s="1253" t="n">
        <f aca="false">IF(AND($A111&gt;I$16,MONTH($A111)=MONTH(I$16)),C110/C98-I$18,I110)</f>
        <v>1.02670575040411</v>
      </c>
      <c r="J111" s="1253" t="n">
        <f aca="false">IF(AND($A111&gt;J$16,MONTH($A111)=MONTH(J$16)),D110/D98,J110)</f>
        <v>1.02791650565236</v>
      </c>
      <c r="K111" s="1253" t="n">
        <f aca="false">IF($A111&gt;=K$16,IF(MONTH($A111)=MONTH(K$16),AVERAGE(E99:E110),K110),K110)</f>
        <v>20.4994791666667</v>
      </c>
      <c r="L111" s="1256" t="n">
        <f aca="false">IF($A111&gt;=L$16,IF(MONTH($A111)=MONTH(L$16),AVERAGE(F99:F110),L110),L110)</f>
        <v>2.16468774735532</v>
      </c>
      <c r="M111" s="1215" t="n">
        <f aca="false">M110+1</f>
        <v>99</v>
      </c>
      <c r="N111" s="1252" t="n">
        <f aca="false">HLOOKUP(N$14,Dec_Change,$M111)</f>
        <v>1.02920575040411</v>
      </c>
      <c r="O111" s="1253" t="n">
        <f aca="false">O110</f>
        <v>1.005</v>
      </c>
      <c r="P111" s="1256" t="n">
        <f aca="false">IF(AND($A111&gt;=P$16,MONTH($A111)=MONTH(P$16)),MAX(N111,O111)*P110,P110)</f>
        <v>1.20034933429065</v>
      </c>
    </row>
    <row r="112" customFormat="false" ht="12.75" hidden="false" customHeight="false" outlineLevel="0" collapsed="false">
      <c r="A112" s="1254" t="n">
        <f aca="false">EDATE(A111,1)</f>
        <v>38231</v>
      </c>
      <c r="B112" s="1245" t="n">
        <f aca="false">'[3]Monthly Curve Calc.'!B115</f>
        <v>261.242982908792</v>
      </c>
      <c r="C112" s="1246" t="n">
        <f aca="false">'[3]Monthly Curve Calc.'!C115</f>
        <v>194.578094051885</v>
      </c>
      <c r="D112" s="1246" t="n">
        <f aca="false">'[3]Monthly Curve Calc.'!D115</f>
        <v>157.356432953797</v>
      </c>
      <c r="E112" s="1246" t="n">
        <f aca="false">'[3]Monthly Curve Calc.'!E115</f>
        <v>19.8219791666667</v>
      </c>
      <c r="F112" s="1247" t="n">
        <f aca="false">'[3]Monthly Curve Calc.'!F115</f>
        <v>2.25049365910673</v>
      </c>
      <c r="G112" s="1255" t="n">
        <f aca="false">IF(AND($A112&gt;G$16,MONTH($A112)=MONTH(G$16)),B111/B99,G111)</f>
        <v>1.08</v>
      </c>
      <c r="H112" s="1253" t="n">
        <f aca="false">IF(AND($A112&gt;H$16,MONTH($A112)=MONTH(H$16)),C111/C99,H111)</f>
        <v>1.02920575040411</v>
      </c>
      <c r="I112" s="1253" t="n">
        <f aca="false">IF(AND($A112&gt;I$16,MONTH($A112)=MONTH(I$16)),C111/C99-I$18,I111)</f>
        <v>1.02670575040411</v>
      </c>
      <c r="J112" s="1253" t="n">
        <f aca="false">IF(AND($A112&gt;J$16,MONTH($A112)=MONTH(J$16)),D111/D99,J111)</f>
        <v>1.02791650565236</v>
      </c>
      <c r="K112" s="1253" t="n">
        <f aca="false">IF($A112&gt;=K$16,IF(MONTH($A112)=MONTH(K$16),AVERAGE(E100:E111),K111),K111)</f>
        <v>20.4994791666667</v>
      </c>
      <c r="L112" s="1256" t="n">
        <f aca="false">IF($A112&gt;=L$16,IF(MONTH($A112)=MONTH(L$16),AVERAGE(F100:F111),L111),L111)</f>
        <v>2.16468774735532</v>
      </c>
      <c r="M112" s="1215" t="n">
        <f aca="false">M111+1</f>
        <v>100</v>
      </c>
      <c r="N112" s="1252" t="n">
        <f aca="false">HLOOKUP(N$14,Dec_Change,$M112)</f>
        <v>1.02920575040411</v>
      </c>
      <c r="O112" s="1253" t="n">
        <f aca="false">O111</f>
        <v>1.005</v>
      </c>
      <c r="P112" s="1256" t="n">
        <f aca="false">IF(AND($A112&gt;=P$16,MONTH($A112)=MONTH(P$16)),MAX(N112,O112)*P111,P111)</f>
        <v>1.20034933429065</v>
      </c>
    </row>
    <row r="113" customFormat="false" ht="12.75" hidden="false" customHeight="false" outlineLevel="0" collapsed="false">
      <c r="A113" s="1254" t="n">
        <f aca="false">EDATE(A112,1)</f>
        <v>38261</v>
      </c>
      <c r="B113" s="1245" t="n">
        <f aca="false">'[3]Monthly Curve Calc.'!B116</f>
        <v>262.923828126855</v>
      </c>
      <c r="C113" s="1246" t="n">
        <f aca="false">'[3]Monthly Curve Calc.'!C116</f>
        <v>195.037760025952</v>
      </c>
      <c r="D113" s="1246" t="n">
        <f aca="false">'[3]Monthly Curve Calc.'!D116</f>
        <v>157.694387717246</v>
      </c>
      <c r="E113" s="1246" t="n">
        <f aca="false">'[3]Monthly Curve Calc.'!E116</f>
        <v>19.790625</v>
      </c>
      <c r="F113" s="1247" t="n">
        <f aca="false">'[3]Monthly Curve Calc.'!F116</f>
        <v>2.25630953895558</v>
      </c>
      <c r="G113" s="1255" t="n">
        <f aca="false">IF(AND($A113&gt;G$16,MONTH($A113)=MONTH(G$16)),B112/B100,G112)</f>
        <v>1.08</v>
      </c>
      <c r="H113" s="1253" t="n">
        <f aca="false">IF(AND($A113&gt;H$16,MONTH($A113)=MONTH(H$16)),C112/C100,H112)</f>
        <v>1.02920575040411</v>
      </c>
      <c r="I113" s="1253" t="n">
        <f aca="false">IF(AND($A113&gt;I$16,MONTH($A113)=MONTH(I$16)),C112/C100-I$18,I112)</f>
        <v>1.02670575040411</v>
      </c>
      <c r="J113" s="1253" t="n">
        <f aca="false">IF(AND($A113&gt;J$16,MONTH($A113)=MONTH(J$16)),D112/D100,J112)</f>
        <v>1.02791650565236</v>
      </c>
      <c r="K113" s="1253" t="n">
        <f aca="false">IF($A113&gt;=K$16,IF(MONTH($A113)=MONTH(K$16),AVERAGE(E101:E112),K112),K112)</f>
        <v>20.4994791666667</v>
      </c>
      <c r="L113" s="1256" t="n">
        <f aca="false">IF($A113&gt;=L$16,IF(MONTH($A113)=MONTH(L$16),AVERAGE(F101:F112),L112),L112)</f>
        <v>2.16468774735532</v>
      </c>
      <c r="M113" s="1215" t="n">
        <f aca="false">M112+1</f>
        <v>101</v>
      </c>
      <c r="N113" s="1252" t="n">
        <f aca="false">HLOOKUP(N$14,Dec_Change,$M113)</f>
        <v>1.02920575040411</v>
      </c>
      <c r="O113" s="1253" t="n">
        <f aca="false">O112</f>
        <v>1.005</v>
      </c>
      <c r="P113" s="1256" t="n">
        <f aca="false">IF(AND($A113&gt;=P$16,MONTH($A113)=MONTH(P$16)),MAX(N113,O113)*P112,P112)</f>
        <v>1.20034933429065</v>
      </c>
    </row>
    <row r="114" customFormat="false" ht="12.75" hidden="false" customHeight="false" outlineLevel="0" collapsed="false">
      <c r="A114" s="1254" t="n">
        <f aca="false">EDATE(A113,1)</f>
        <v>38292</v>
      </c>
      <c r="B114" s="1245" t="n">
        <f aca="false">'[3]Monthly Curve Calc.'!B117</f>
        <v>264.61548795366</v>
      </c>
      <c r="C114" s="1246" t="n">
        <f aca="false">'[3]Monthly Curve Calc.'!C117</f>
        <v>195.49851190236</v>
      </c>
      <c r="D114" s="1246" t="n">
        <f aca="false">'[3]Monthly Curve Calc.'!D117</f>
        <v>158.033068306897</v>
      </c>
      <c r="E114" s="1246" t="n">
        <f aca="false">'[3]Monthly Curve Calc.'!E117</f>
        <v>19.7592708333333</v>
      </c>
      <c r="F114" s="1247" t="n">
        <f aca="false">'[3]Monthly Curve Calc.'!F117</f>
        <v>2.26214044859947</v>
      </c>
      <c r="G114" s="1255" t="n">
        <f aca="false">IF(AND($A114&gt;G$16,MONTH($A114)=MONTH(G$16)),B113/B101,G113)</f>
        <v>1.08</v>
      </c>
      <c r="H114" s="1253" t="n">
        <f aca="false">IF(AND($A114&gt;H$16,MONTH($A114)=MONTH(H$16)),C113/C101,H113)</f>
        <v>1.02920575040411</v>
      </c>
      <c r="I114" s="1253" t="n">
        <f aca="false">IF(AND($A114&gt;I$16,MONTH($A114)=MONTH(I$16)),C113/C101-I$18,I113)</f>
        <v>1.02670575040411</v>
      </c>
      <c r="J114" s="1253" t="n">
        <f aca="false">IF(AND($A114&gt;J$16,MONTH($A114)=MONTH(J$16)),D113/D101,J113)</f>
        <v>1.02791650565236</v>
      </c>
      <c r="K114" s="1253" t="n">
        <f aca="false">IF($A114&gt;=K$16,IF(MONTH($A114)=MONTH(K$16),AVERAGE(E102:E113),K113),K113)</f>
        <v>20.4994791666667</v>
      </c>
      <c r="L114" s="1256" t="n">
        <f aca="false">IF($A114&gt;=L$16,IF(MONTH($A114)=MONTH(L$16),AVERAGE(F102:F113),L113),L113)</f>
        <v>2.16468774735532</v>
      </c>
      <c r="M114" s="1215" t="n">
        <f aca="false">M113+1</f>
        <v>102</v>
      </c>
      <c r="N114" s="1252" t="n">
        <f aca="false">HLOOKUP(N$14,Dec_Change,$M114)</f>
        <v>1.02920575040411</v>
      </c>
      <c r="O114" s="1253" t="n">
        <f aca="false">O113</f>
        <v>1.005</v>
      </c>
      <c r="P114" s="1256" t="n">
        <f aca="false">IF(AND($A114&gt;=P$16,MONTH($A114)=MONTH(P$16)),MAX(N114,O114)*P113,P113)</f>
        <v>1.20034933429065</v>
      </c>
    </row>
    <row r="115" customFormat="false" ht="12.75" hidden="false" customHeight="false" outlineLevel="0" collapsed="false">
      <c r="A115" s="1254" t="n">
        <f aca="false">EDATE(A114,1)</f>
        <v>38322</v>
      </c>
      <c r="B115" s="1245" t="n">
        <f aca="false">'[3]Monthly Curve Calc.'!B118</f>
        <v>266.318031970727</v>
      </c>
      <c r="C115" s="1246" t="n">
        <f aca="false">'[3]Monthly Curve Calc.'!C118</f>
        <v>195.960352246414</v>
      </c>
      <c r="D115" s="1246" t="n">
        <f aca="false">'[3]Monthly Curve Calc.'!D118</f>
        <v>158.372476281609</v>
      </c>
      <c r="E115" s="1246" t="n">
        <f aca="false">'[3]Monthly Curve Calc.'!E118</f>
        <v>19.7279166666667</v>
      </c>
      <c r="F115" s="1247" t="n">
        <f aca="false">'[3]Monthly Curve Calc.'!F118</f>
        <v>2.26798642687942</v>
      </c>
      <c r="G115" s="1255" t="n">
        <f aca="false">IF(AND($A115&gt;G$16,MONTH($A115)=MONTH(G$16)),B114/B102,G114)</f>
        <v>1.08</v>
      </c>
      <c r="H115" s="1253" t="n">
        <f aca="false">IF(AND($A115&gt;H$16,MONTH($A115)=MONTH(H$16)),C114/C102,H114)</f>
        <v>1.02920575040411</v>
      </c>
      <c r="I115" s="1253" t="n">
        <f aca="false">IF(AND($A115&gt;I$16,MONTH($A115)=MONTH(I$16)),C114/C102-I$18,I114)</f>
        <v>1.02670575040411</v>
      </c>
      <c r="J115" s="1253" t="n">
        <f aca="false">IF(AND($A115&gt;J$16,MONTH($A115)=MONTH(J$16)),D114/D102,J114)</f>
        <v>1.02791650565236</v>
      </c>
      <c r="K115" s="1253" t="n">
        <f aca="false">IF($A115&gt;=K$16,IF(MONTH($A115)=MONTH(K$16),AVERAGE(E103:E114),K114),K114)</f>
        <v>20.4994791666667</v>
      </c>
      <c r="L115" s="1256" t="n">
        <f aca="false">IF($A115&gt;=L$16,IF(MONTH($A115)=MONTH(L$16),AVERAGE(F103:F114),L114),L114)</f>
        <v>2.16468774735532</v>
      </c>
      <c r="M115" s="1215" t="n">
        <f aca="false">M114+1</f>
        <v>103</v>
      </c>
      <c r="N115" s="1252" t="n">
        <f aca="false">HLOOKUP(N$14,Dec_Change,$M115)</f>
        <v>1.02920575040411</v>
      </c>
      <c r="O115" s="1253" t="n">
        <f aca="false">O114</f>
        <v>1.005</v>
      </c>
      <c r="P115" s="1256" t="n">
        <f aca="false">IF(AND($A115&gt;=P$16,MONTH($A115)=MONTH(P$16)),MAX(N115,O115)*P114,P114)</f>
        <v>1.20034933429065</v>
      </c>
    </row>
    <row r="116" customFormat="false" ht="12.75" hidden="false" customHeight="false" outlineLevel="0" collapsed="false">
      <c r="A116" s="1254" t="n">
        <f aca="false">EDATE(A115,1)</f>
        <v>38353</v>
      </c>
      <c r="B116" s="1245" t="n">
        <f aca="false">'[3]Monthly Curve Calc.'!B119</f>
        <v>267.927902908699</v>
      </c>
      <c r="C116" s="1246" t="n">
        <f aca="false">'[3]Monthly Curve Calc.'!C119</f>
        <v>196.415326114842</v>
      </c>
      <c r="D116" s="1246" t="n">
        <f aca="false">'[3]Monthly Curve Calc.'!D119</f>
        <v>158.693481135868</v>
      </c>
      <c r="E116" s="1246" t="n">
        <f aca="false">'[3]Monthly Curve Calc.'!E119</f>
        <v>19.7182638888889</v>
      </c>
      <c r="F116" s="1247" t="n">
        <f aca="false">'[3]Monthly Curve Calc.'!F119</f>
        <v>2.27329442304836</v>
      </c>
      <c r="G116" s="1255" t="n">
        <f aca="false">IF(AND($A116&gt;G$16,MONTH($A116)=MONTH(G$16)),B115/B103,G115)</f>
        <v>1.08</v>
      </c>
      <c r="H116" s="1253" t="n">
        <f aca="false">IF(AND($A116&gt;H$16,MONTH($A116)=MONTH(H$16)),C115/C103,H115)</f>
        <v>1.02920575040411</v>
      </c>
      <c r="I116" s="1253" t="n">
        <f aca="false">IF(AND($A116&gt;I$16,MONTH($A116)=MONTH(I$16)),C115/C103-I$18,I115)</f>
        <v>1.02670575040411</v>
      </c>
      <c r="J116" s="1253" t="n">
        <f aca="false">IF(AND($A116&gt;J$16,MONTH($A116)=MONTH(J$16)),D115/D103,J115)</f>
        <v>1.02607905012551</v>
      </c>
      <c r="K116" s="1253" t="n">
        <f aca="false">IF($A116&gt;=K$16,IF(MONTH($A116)=MONTH(K$16),AVERAGE(E104:E115),K115),K115)</f>
        <v>19.9003645833333</v>
      </c>
      <c r="L116" s="1256" t="n">
        <f aca="false">IF($A116&gt;=L$16,IF(MONTH($A116)=MONTH(L$16),AVERAGE(F104:F115),L115),L115)</f>
        <v>2.23610820906301</v>
      </c>
      <c r="M116" s="1215" t="n">
        <f aca="false">M115+1</f>
        <v>104</v>
      </c>
      <c r="N116" s="1252" t="n">
        <f aca="false">HLOOKUP(N$14,Dec_Change,$M116)</f>
        <v>1.02920575040411</v>
      </c>
      <c r="O116" s="1253" t="n">
        <f aca="false">O115</f>
        <v>1.005</v>
      </c>
      <c r="P116" s="1256" t="n">
        <f aca="false">IF(AND($A116&gt;=P$16,MONTH($A116)=MONTH(P$16)),MAX(N116,O116)*P115,P115)</f>
        <v>1.20034933429065</v>
      </c>
    </row>
    <row r="117" customFormat="false" ht="12.75" hidden="false" customHeight="false" outlineLevel="0" collapsed="false">
      <c r="A117" s="1254" t="n">
        <f aca="false">EDATE(A116,1)</f>
        <v>38384</v>
      </c>
      <c r="B117" s="1245" t="n">
        <f aca="false">'[3]Monthly Curve Calc.'!B120</f>
        <v>269.54750538613</v>
      </c>
      <c r="C117" s="1246" t="n">
        <f aca="false">'[3]Monthly Curve Calc.'!C120</f>
        <v>196.871356325631</v>
      </c>
      <c r="D117" s="1246" t="n">
        <f aca="false">'[3]Monthly Curve Calc.'!D120</f>
        <v>159.015136634221</v>
      </c>
      <c r="E117" s="1246" t="n">
        <f aca="false">'[3]Monthly Curve Calc.'!E120</f>
        <v>19.7086111111111</v>
      </c>
      <c r="F117" s="1247" t="n">
        <f aca="false">'[3]Monthly Curve Calc.'!F120</f>
        <v>2.27861484205326</v>
      </c>
      <c r="G117" s="1255" t="n">
        <f aca="false">IF(AND($A117&gt;G$16,MONTH($A117)=MONTH(G$16)),B116/B104,G116)</f>
        <v>1.08</v>
      </c>
      <c r="H117" s="1253" t="n">
        <f aca="false">IF(AND($A117&gt;H$16,MONTH($A117)=MONTH(H$16)),C116/C104,H116)</f>
        <v>1.02920575040411</v>
      </c>
      <c r="I117" s="1253" t="n">
        <f aca="false">IF(AND($A117&gt;I$16,MONTH($A117)=MONTH(I$16)),C116/C104-I$18,I116)</f>
        <v>1.02670575040411</v>
      </c>
      <c r="J117" s="1253" t="n">
        <f aca="false">IF(AND($A117&gt;J$16,MONTH($A117)=MONTH(J$16)),D116/D104,J116)</f>
        <v>1.02607905012551</v>
      </c>
      <c r="K117" s="1253" t="n">
        <f aca="false">IF($A117&gt;=K$16,IF(MONTH($A117)=MONTH(K$16),AVERAGE(E105:E116),K116),K116)</f>
        <v>19.9003645833333</v>
      </c>
      <c r="L117" s="1256" t="n">
        <f aca="false">IF($A117&gt;=L$16,IF(MONTH($A117)=MONTH(L$16),AVERAGE(F105:F116),L116),L116)</f>
        <v>2.23610820906301</v>
      </c>
      <c r="M117" s="1215" t="n">
        <f aca="false">M116+1</f>
        <v>105</v>
      </c>
      <c r="N117" s="1252" t="n">
        <f aca="false">HLOOKUP(N$14,Dec_Change,$M117)</f>
        <v>1.02920575040411</v>
      </c>
      <c r="O117" s="1253" t="n">
        <f aca="false">O116</f>
        <v>1.005</v>
      </c>
      <c r="P117" s="1256" t="n">
        <f aca="false">IF(AND($A117&gt;=P$16,MONTH($A117)=MONTH(P$16)),MAX(N117,O117)*P116,P116)</f>
        <v>1.20034933429065</v>
      </c>
    </row>
    <row r="118" customFormat="false" ht="12.75" hidden="false" customHeight="false" outlineLevel="0" collapsed="false">
      <c r="A118" s="1254" t="n">
        <f aca="false">EDATE(A117,1)</f>
        <v>38412</v>
      </c>
      <c r="B118" s="1245" t="n">
        <f aca="false">'[3]Monthly Curve Calc.'!B121</f>
        <v>271.176898229389</v>
      </c>
      <c r="C118" s="1246" t="n">
        <f aca="false">'[3]Monthly Curve Calc.'!C121</f>
        <v>197.328445331359</v>
      </c>
      <c r="D118" s="1246" t="n">
        <f aca="false">'[3]Monthly Curve Calc.'!D121</f>
        <v>159.337444095458</v>
      </c>
      <c r="E118" s="1246" t="n">
        <f aca="false">'[3]Monthly Curve Calc.'!E121</f>
        <v>19.6989583333333</v>
      </c>
      <c r="F118" s="1247" t="n">
        <f aca="false">'[3]Monthly Curve Calc.'!F121</f>
        <v>2.28394771296852</v>
      </c>
      <c r="G118" s="1255" t="n">
        <f aca="false">IF(AND($A118&gt;G$16,MONTH($A118)=MONTH(G$16)),B117/B105,G117)</f>
        <v>1.08</v>
      </c>
      <c r="H118" s="1253" t="n">
        <f aca="false">IF(AND($A118&gt;H$16,MONTH($A118)=MONTH(H$16)),C117/C105,H117)</f>
        <v>1.02920575040411</v>
      </c>
      <c r="I118" s="1253" t="n">
        <f aca="false">IF(AND($A118&gt;I$16,MONTH($A118)=MONTH(I$16)),C117/C105-I$18,I117)</f>
        <v>1.02670575040411</v>
      </c>
      <c r="J118" s="1253" t="n">
        <f aca="false">IF(AND($A118&gt;J$16,MONTH($A118)=MONTH(J$16)),D117/D105,J117)</f>
        <v>1.02607905012551</v>
      </c>
      <c r="K118" s="1253" t="n">
        <f aca="false">IF($A118&gt;=K$16,IF(MONTH($A118)=MONTH(K$16),AVERAGE(E106:E117),K117),K117)</f>
        <v>19.9003645833333</v>
      </c>
      <c r="L118" s="1256" t="n">
        <f aca="false">IF($A118&gt;=L$16,IF(MONTH($A118)=MONTH(L$16),AVERAGE(F106:F117),L117),L117)</f>
        <v>2.23610820906301</v>
      </c>
      <c r="M118" s="1215" t="n">
        <f aca="false">M117+1</f>
        <v>106</v>
      </c>
      <c r="N118" s="1252" t="n">
        <f aca="false">HLOOKUP(N$14,Dec_Change,$M118)</f>
        <v>1.02920575040411</v>
      </c>
      <c r="O118" s="1253" t="n">
        <f aca="false">O117</f>
        <v>1.005</v>
      </c>
      <c r="P118" s="1256" t="n">
        <f aca="false">IF(AND($A118&gt;=P$16,MONTH($A118)=MONTH(P$16)),MAX(N118,O118)*P117,P117)</f>
        <v>1.20034933429065</v>
      </c>
    </row>
    <row r="119" customFormat="false" ht="12.75" hidden="false" customHeight="false" outlineLevel="0" collapsed="false">
      <c r="A119" s="1254" t="n">
        <f aca="false">EDATE(A118,1)</f>
        <v>38443</v>
      </c>
      <c r="B119" s="1245" t="n">
        <f aca="false">'[3]Monthly Curve Calc.'!B122</f>
        <v>272.816140620445</v>
      </c>
      <c r="C119" s="1246" t="n">
        <f aca="false">'[3]Monthly Curve Calc.'!C122</f>
        <v>197.786595590298</v>
      </c>
      <c r="D119" s="1246" t="n">
        <f aca="false">'[3]Monthly Curve Calc.'!D122</f>
        <v>159.660404841042</v>
      </c>
      <c r="E119" s="1246" t="n">
        <f aca="false">'[3]Monthly Curve Calc.'!E122</f>
        <v>19.6893055555556</v>
      </c>
      <c r="F119" s="1247" t="n">
        <f aca="false">'[3]Monthly Curve Calc.'!F122</f>
        <v>2.2892930649366</v>
      </c>
      <c r="G119" s="1255" t="n">
        <f aca="false">IF(AND($A119&gt;G$16,MONTH($A119)=MONTH(G$16)),B118/B106,G118)</f>
        <v>1.08</v>
      </c>
      <c r="H119" s="1253" t="n">
        <f aca="false">IF(AND($A119&gt;H$16,MONTH($A119)=MONTH(H$16)),C118/C106,H118)</f>
        <v>1.02920575040411</v>
      </c>
      <c r="I119" s="1253" t="n">
        <f aca="false">IF(AND($A119&gt;I$16,MONTH($A119)=MONTH(I$16)),C118/C106-I$18,I118)</f>
        <v>1.02670575040411</v>
      </c>
      <c r="J119" s="1253" t="n">
        <f aca="false">IF(AND($A119&gt;J$16,MONTH($A119)=MONTH(J$16)),D118/D106,J118)</f>
        <v>1.02607905012551</v>
      </c>
      <c r="K119" s="1253" t="n">
        <f aca="false">IF($A119&gt;=K$16,IF(MONTH($A119)=MONTH(K$16),AVERAGE(E107:E118),K118),K118)</f>
        <v>19.9003645833333</v>
      </c>
      <c r="L119" s="1256" t="n">
        <f aca="false">IF($A119&gt;=L$16,IF(MONTH($A119)=MONTH(L$16),AVERAGE(F107:F118),L118),L118)</f>
        <v>2.23610820906301</v>
      </c>
      <c r="M119" s="1215" t="n">
        <f aca="false">M118+1</f>
        <v>107</v>
      </c>
      <c r="N119" s="1252" t="n">
        <f aca="false">HLOOKUP(N$14,Dec_Change,$M119)</f>
        <v>1.02920575040411</v>
      </c>
      <c r="O119" s="1253" t="n">
        <f aca="false">O118</f>
        <v>1.005</v>
      </c>
      <c r="P119" s="1256" t="n">
        <f aca="false">IF(AND($A119&gt;=P$16,MONTH($A119)=MONTH(P$16)),MAX(N119,O119)*P118,P118)</f>
        <v>1.20034933429065</v>
      </c>
    </row>
    <row r="120" customFormat="false" ht="12.75" hidden="false" customHeight="false" outlineLevel="0" collapsed="false">
      <c r="A120" s="1254" t="n">
        <f aca="false">EDATE(A119,1)</f>
        <v>38473</v>
      </c>
      <c r="B120" s="1245" t="n">
        <f aca="false">'[3]Monthly Curve Calc.'!B123</f>
        <v>274.465292099015</v>
      </c>
      <c r="C120" s="1246" t="n">
        <f aca="false">'[3]Monthly Curve Calc.'!C123</f>
        <v>198.245809566429</v>
      </c>
      <c r="D120" s="1246" t="n">
        <f aca="false">'[3]Monthly Curve Calc.'!D123</f>
        <v>159.984020195112</v>
      </c>
      <c r="E120" s="1246" t="n">
        <f aca="false">'[3]Monthly Curve Calc.'!E123</f>
        <v>19.6796527777778</v>
      </c>
      <c r="F120" s="1247" t="n">
        <f aca="false">'[3]Monthly Curve Calc.'!F123</f>
        <v>2.29465092716816</v>
      </c>
      <c r="G120" s="1255" t="n">
        <f aca="false">IF(AND($A120&gt;G$16,MONTH($A120)=MONTH(G$16)),B119/B107,G119)</f>
        <v>1.07833075468112</v>
      </c>
      <c r="H120" s="1253" t="n">
        <f aca="false">IF(AND($A120&gt;H$16,MONTH($A120)=MONTH(H$16)),C119/C107,H119)</f>
        <v>1.02855302909737</v>
      </c>
      <c r="I120" s="1253" t="n">
        <f aca="false">IF(AND($A120&gt;I$16,MONTH($A120)=MONTH(I$16)),C119/C107-I$18,I119)</f>
        <v>1.02605302909737</v>
      </c>
      <c r="J120" s="1253" t="n">
        <f aca="false">IF(AND($A120&gt;J$16,MONTH($A120)=MONTH(J$16)),D119/D107,J119)</f>
        <v>1.02607905012551</v>
      </c>
      <c r="K120" s="1253" t="n">
        <f aca="false">IF($A120&gt;=K$16,IF(MONTH($A120)=MONTH(K$16),AVERAGE(E108:E119),K119),K119)</f>
        <v>19.9003645833333</v>
      </c>
      <c r="L120" s="1256" t="n">
        <f aca="false">IF($A120&gt;=L$16,IF(MONTH($A120)=MONTH(L$16),AVERAGE(F108:F119),L119),L119)</f>
        <v>2.23610820906301</v>
      </c>
      <c r="M120" s="1215" t="n">
        <f aca="false">M119+1</f>
        <v>108</v>
      </c>
      <c r="N120" s="1252" t="n">
        <f aca="false">HLOOKUP(N$14,Dec_Change,$M120)</f>
        <v>1.02855302909737</v>
      </c>
      <c r="O120" s="1253" t="n">
        <f aca="false">O119</f>
        <v>1.005</v>
      </c>
      <c r="P120" s="1256" t="n">
        <f aca="false">IF(AND($A120&gt;=P$16,MONTH($A120)=MONTH(P$16)),MAX(N120,O120)*P119,P119)</f>
        <v>1.23462294375966</v>
      </c>
    </row>
    <row r="121" customFormat="false" ht="12.75" hidden="false" customHeight="false" outlineLevel="0" collapsed="false">
      <c r="A121" s="1254" t="n">
        <f aca="false">EDATE(A120,1)</f>
        <v>38504</v>
      </c>
      <c r="B121" s="1245" t="n">
        <f aca="false">'[3]Monthly Curve Calc.'!B124</f>
        <v>276.124412564732</v>
      </c>
      <c r="C121" s="1246" t="n">
        <f aca="false">'[3]Monthly Curve Calc.'!C124</f>
        <v>198.706089729453</v>
      </c>
      <c r="D121" s="1246" t="n">
        <f aca="false">'[3]Monthly Curve Calc.'!D124</f>
        <v>160.308291484494</v>
      </c>
      <c r="E121" s="1246" t="n">
        <f aca="false">'[3]Monthly Curve Calc.'!E124</f>
        <v>19.67</v>
      </c>
      <c r="F121" s="1247" t="n">
        <f aca="false">'[3]Monthly Curve Calc.'!F124</f>
        <v>2.30002132894223</v>
      </c>
      <c r="G121" s="1255" t="n">
        <f aca="false">IF(AND($A121&gt;G$16,MONTH($A121)=MONTH(G$16)),B120/B108,G120)</f>
        <v>1.07833075468112</v>
      </c>
      <c r="H121" s="1253" t="n">
        <f aca="false">IF(AND($A121&gt;H$16,MONTH($A121)=MONTH(H$16)),C120/C108,H120)</f>
        <v>1.02855302909737</v>
      </c>
      <c r="I121" s="1253" t="n">
        <f aca="false">IF(AND($A121&gt;I$16,MONTH($A121)=MONTH(I$16)),C120/C108-I$18,I120)</f>
        <v>1.02605302909737</v>
      </c>
      <c r="J121" s="1253" t="n">
        <f aca="false">IF(AND($A121&gt;J$16,MONTH($A121)=MONTH(J$16)),D120/D108,J120)</f>
        <v>1.02607905012551</v>
      </c>
      <c r="K121" s="1253" t="n">
        <f aca="false">IF($A121&gt;=K$16,IF(MONTH($A121)=MONTH(K$16),AVERAGE(E109:E120),K120),K120)</f>
        <v>19.9003645833333</v>
      </c>
      <c r="L121" s="1256" t="n">
        <f aca="false">IF($A121&gt;=L$16,IF(MONTH($A121)=MONTH(L$16),AVERAGE(F109:F120),L120),L120)</f>
        <v>2.23610820906301</v>
      </c>
      <c r="M121" s="1215" t="n">
        <f aca="false">M120+1</f>
        <v>109</v>
      </c>
      <c r="N121" s="1252" t="n">
        <f aca="false">HLOOKUP(N$14,Dec_Change,$M121)</f>
        <v>1.02855302909737</v>
      </c>
      <c r="O121" s="1253" t="n">
        <f aca="false">O120</f>
        <v>1.005</v>
      </c>
      <c r="P121" s="1256" t="n">
        <f aca="false">IF(AND($A121&gt;=P$16,MONTH($A121)=MONTH(P$16)),MAX(N121,O121)*P120,P120)</f>
        <v>1.23462294375966</v>
      </c>
    </row>
    <row r="122" customFormat="false" ht="12.75" hidden="false" customHeight="false" outlineLevel="0" collapsed="false">
      <c r="A122" s="1254" t="n">
        <f aca="false">EDATE(A121,1)</f>
        <v>38534</v>
      </c>
      <c r="B122" s="1245" t="n">
        <f aca="false">'[3]Monthly Curve Calc.'!B125</f>
        <v>277.793562279316</v>
      </c>
      <c r="C122" s="1246" t="n">
        <f aca="false">'[3]Monthly Curve Calc.'!C125</f>
        <v>199.167438554806</v>
      </c>
      <c r="D122" s="1246" t="n">
        <f aca="false">'[3]Monthly Curve Calc.'!D125</f>
        <v>160.633220038701</v>
      </c>
      <c r="E122" s="1246" t="n">
        <f aca="false">'[3]Monthly Curve Calc.'!E125</f>
        <v>19.6603472222222</v>
      </c>
      <c r="F122" s="1247" t="n">
        <f aca="false">'[3]Monthly Curve Calc.'!F125</f>
        <v>2.30540429960635</v>
      </c>
      <c r="G122" s="1255" t="n">
        <f aca="false">IF(AND($A122&gt;G$16,MONTH($A122)=MONTH(G$16)),B121/B109,G121)</f>
        <v>1.07833075468112</v>
      </c>
      <c r="H122" s="1253" t="n">
        <f aca="false">IF(AND($A122&gt;H$16,MONTH($A122)=MONTH(H$16)),C121/C109,H121)</f>
        <v>1.02855302909737</v>
      </c>
      <c r="I122" s="1253" t="n">
        <f aca="false">IF(AND($A122&gt;I$16,MONTH($A122)=MONTH(I$16)),C121/C109-I$18,I121)</f>
        <v>1.02605302909737</v>
      </c>
      <c r="J122" s="1253" t="n">
        <f aca="false">IF(AND($A122&gt;J$16,MONTH($A122)=MONTH(J$16)),D121/D109,J121)</f>
        <v>1.02607905012551</v>
      </c>
      <c r="K122" s="1253" t="n">
        <f aca="false">IF($A122&gt;=K$16,IF(MONTH($A122)=MONTH(K$16),AVERAGE(E110:E121),K121),K121)</f>
        <v>19.9003645833333</v>
      </c>
      <c r="L122" s="1256" t="n">
        <f aca="false">IF($A122&gt;=L$16,IF(MONTH($A122)=MONTH(L$16),AVERAGE(F110:F121),L121),L121)</f>
        <v>2.23610820906301</v>
      </c>
      <c r="M122" s="1215" t="n">
        <f aca="false">M121+1</f>
        <v>110</v>
      </c>
      <c r="N122" s="1252" t="n">
        <f aca="false">HLOOKUP(N$14,Dec_Change,$M122)</f>
        <v>1.02855302909737</v>
      </c>
      <c r="O122" s="1253" t="n">
        <f aca="false">O121</f>
        <v>1.005</v>
      </c>
      <c r="P122" s="1256" t="n">
        <f aca="false">IF(AND($A122&gt;=P$16,MONTH($A122)=MONTH(P$16)),MAX(N122,O122)*P121,P121)</f>
        <v>1.23462294375966</v>
      </c>
    </row>
    <row r="123" customFormat="false" ht="12.75" hidden="false" customHeight="false" outlineLevel="0" collapsed="false">
      <c r="A123" s="1254" t="n">
        <f aca="false">EDATE(A122,1)</f>
        <v>38565</v>
      </c>
      <c r="B123" s="1245" t="n">
        <f aca="false">'[3]Monthly Curve Calc.'!B126</f>
        <v>279.472801868764</v>
      </c>
      <c r="C123" s="1246" t="n">
        <f aca="false">'[3]Monthly Curve Calc.'!C126</f>
        <v>199.62985852367</v>
      </c>
      <c r="D123" s="1246" t="n">
        <f aca="false">'[3]Monthly Curve Calc.'!D126</f>
        <v>160.958807189943</v>
      </c>
      <c r="E123" s="1246" t="n">
        <f aca="false">'[3]Monthly Curve Calc.'!E126</f>
        <v>19.6506944444445</v>
      </c>
      <c r="F123" s="1247" t="n">
        <f aca="false">'[3]Monthly Curve Calc.'!F126</f>
        <v>2.31079986857675</v>
      </c>
      <c r="G123" s="1255" t="n">
        <f aca="false">IF(AND($A123&gt;G$16,MONTH($A123)=MONTH(G$16)),B122/B110,G122)</f>
        <v>1.07833075468112</v>
      </c>
      <c r="H123" s="1253" t="n">
        <f aca="false">IF(AND($A123&gt;H$16,MONTH($A123)=MONTH(H$16)),C122/C110,H122)</f>
        <v>1.02855302909737</v>
      </c>
      <c r="I123" s="1253" t="n">
        <f aca="false">IF(AND($A123&gt;I$16,MONTH($A123)=MONTH(I$16)),C122/C110-I$18,I122)</f>
        <v>1.02605302909737</v>
      </c>
      <c r="J123" s="1253" t="n">
        <f aca="false">IF(AND($A123&gt;J$16,MONTH($A123)=MONTH(J$16)),D122/D110,J122)</f>
        <v>1.02607905012551</v>
      </c>
      <c r="K123" s="1253" t="n">
        <f aca="false">IF($A123&gt;=K$16,IF(MONTH($A123)=MONTH(K$16),AVERAGE(E111:E122),K122),K122)</f>
        <v>19.9003645833333</v>
      </c>
      <c r="L123" s="1256" t="n">
        <f aca="false">IF($A123&gt;=L$16,IF(MONTH($A123)=MONTH(L$16),AVERAGE(F111:F122),L122),L122)</f>
        <v>2.23610820906301</v>
      </c>
      <c r="M123" s="1215" t="n">
        <f aca="false">M122+1</f>
        <v>111</v>
      </c>
      <c r="N123" s="1252" t="n">
        <f aca="false">HLOOKUP(N$14,Dec_Change,$M123)</f>
        <v>1.02855302909737</v>
      </c>
      <c r="O123" s="1253" t="n">
        <f aca="false">O122</f>
        <v>1.005</v>
      </c>
      <c r="P123" s="1256" t="n">
        <f aca="false">IF(AND($A123&gt;=P$16,MONTH($A123)=MONTH(P$16)),MAX(N123,O123)*P122,P122)</f>
        <v>1.23462294375966</v>
      </c>
    </row>
    <row r="124" customFormat="false" ht="12.75" hidden="false" customHeight="false" outlineLevel="0" collapsed="false">
      <c r="A124" s="1254" t="n">
        <f aca="false">EDATE(A123,1)</f>
        <v>38596</v>
      </c>
      <c r="B124" s="1245" t="n">
        <f aca="false">'[3]Monthly Curve Calc.'!B127</f>
        <v>281.162192325553</v>
      </c>
      <c r="C124" s="1246" t="n">
        <f aca="false">'[3]Monthly Curve Calc.'!C127</f>
        <v>200.093352122988</v>
      </c>
      <c r="D124" s="1246" t="n">
        <f aca="false">'[3]Monthly Curve Calc.'!D127</f>
        <v>161.285054273128</v>
      </c>
      <c r="E124" s="1246" t="n">
        <f aca="false">'[3]Monthly Curve Calc.'!E127</f>
        <v>19.6410416666667</v>
      </c>
      <c r="F124" s="1247" t="n">
        <f aca="false">'[3]Monthly Curve Calc.'!F127</f>
        <v>2.31620806533853</v>
      </c>
      <c r="G124" s="1255" t="n">
        <f aca="false">IF(AND($A124&gt;G$16,MONTH($A124)=MONTH(G$16)),B123/B111,G123)</f>
        <v>1.07833075468112</v>
      </c>
      <c r="H124" s="1253" t="n">
        <f aca="false">IF(AND($A124&gt;H$16,MONTH($A124)=MONTH(H$16)),C123/C111,H123)</f>
        <v>1.02855302909737</v>
      </c>
      <c r="I124" s="1253" t="n">
        <f aca="false">IF(AND($A124&gt;I$16,MONTH($A124)=MONTH(I$16)),C123/C111-I$18,I123)</f>
        <v>1.02605302909737</v>
      </c>
      <c r="J124" s="1253" t="n">
        <f aca="false">IF(AND($A124&gt;J$16,MONTH($A124)=MONTH(J$16)),D123/D111,J123)</f>
        <v>1.02607905012551</v>
      </c>
      <c r="K124" s="1253" t="n">
        <f aca="false">IF($A124&gt;=K$16,IF(MONTH($A124)=MONTH(K$16),AVERAGE(E112:E123),K123),K123)</f>
        <v>19.9003645833333</v>
      </c>
      <c r="L124" s="1256" t="n">
        <f aca="false">IF($A124&gt;=L$16,IF(MONTH($A124)=MONTH(L$16),AVERAGE(F112:F123),L123),L123)</f>
        <v>2.23610820906301</v>
      </c>
      <c r="M124" s="1215" t="n">
        <f aca="false">M123+1</f>
        <v>112</v>
      </c>
      <c r="N124" s="1252" t="n">
        <f aca="false">HLOOKUP(N$14,Dec_Change,$M124)</f>
        <v>1.02855302909737</v>
      </c>
      <c r="O124" s="1253" t="n">
        <f aca="false">O123</f>
        <v>1.005</v>
      </c>
      <c r="P124" s="1256" t="n">
        <f aca="false">IF(AND($A124&gt;=P$16,MONTH($A124)=MONTH(P$16)),MAX(N124,O124)*P123,P123)</f>
        <v>1.23462294375966</v>
      </c>
    </row>
    <row r="125" customFormat="false" ht="12.75" hidden="false" customHeight="false" outlineLevel="0" collapsed="false">
      <c r="A125" s="1254" t="n">
        <f aca="false">EDATE(A124,1)</f>
        <v>38626</v>
      </c>
      <c r="B125" s="1245" t="n">
        <f aca="false">'[3]Monthly Curve Calc.'!B128</f>
        <v>282.861795010853</v>
      </c>
      <c r="C125" s="1246" t="n">
        <f aca="false">'[3]Monthly Curve Calc.'!C128</f>
        <v>200.557921845479</v>
      </c>
      <c r="D125" s="1246" t="n">
        <f aca="false">'[3]Monthly Curve Calc.'!D128</f>
        <v>161.611962625871</v>
      </c>
      <c r="E125" s="1246" t="n">
        <f aca="false">'[3]Monthly Curve Calc.'!E128</f>
        <v>19.6313888888889</v>
      </c>
      <c r="F125" s="1247" t="n">
        <f aca="false">'[3]Monthly Curve Calc.'!F128</f>
        <v>2.32162891944576</v>
      </c>
      <c r="G125" s="1255" t="n">
        <f aca="false">IF(AND($A125&gt;G$16,MONTH($A125)=MONTH(G$16)),B124/B112,G124)</f>
        <v>1.07833075468112</v>
      </c>
      <c r="H125" s="1253" t="n">
        <f aca="false">IF(AND($A125&gt;H$16,MONTH($A125)=MONTH(H$16)),C124/C112,H124)</f>
        <v>1.02855302909737</v>
      </c>
      <c r="I125" s="1253" t="n">
        <f aca="false">IF(AND($A125&gt;I$16,MONTH($A125)=MONTH(I$16)),C124/C112-I$18,I124)</f>
        <v>1.02605302909737</v>
      </c>
      <c r="J125" s="1253" t="n">
        <f aca="false">IF(AND($A125&gt;J$16,MONTH($A125)=MONTH(J$16)),D124/D112,J124)</f>
        <v>1.02607905012551</v>
      </c>
      <c r="K125" s="1253" t="n">
        <f aca="false">IF($A125&gt;=K$16,IF(MONTH($A125)=MONTH(K$16),AVERAGE(E113:E124),K124),K124)</f>
        <v>19.9003645833333</v>
      </c>
      <c r="L125" s="1256" t="n">
        <f aca="false">IF($A125&gt;=L$16,IF(MONTH($A125)=MONTH(L$16),AVERAGE(F113:F124),L124),L124)</f>
        <v>2.23610820906301</v>
      </c>
      <c r="M125" s="1215" t="n">
        <f aca="false">M124+1</f>
        <v>113</v>
      </c>
      <c r="N125" s="1252" t="n">
        <f aca="false">HLOOKUP(N$14,Dec_Change,$M125)</f>
        <v>1.02855302909737</v>
      </c>
      <c r="O125" s="1253" t="n">
        <f aca="false">O124</f>
        <v>1.005</v>
      </c>
      <c r="P125" s="1256" t="n">
        <f aca="false">IF(AND($A125&gt;=P$16,MONTH($A125)=MONTH(P$16)),MAX(N125,O125)*P124,P124)</f>
        <v>1.23462294375966</v>
      </c>
    </row>
    <row r="126" customFormat="false" ht="12.75" hidden="false" customHeight="false" outlineLevel="0" collapsed="false">
      <c r="A126" s="1254" t="n">
        <f aca="false">EDATE(A125,1)</f>
        <v>38657</v>
      </c>
      <c r="B126" s="1245" t="n">
        <f aca="false">'[3]Monthly Curve Calc.'!B129</f>
        <v>284.571671656759</v>
      </c>
      <c r="C126" s="1246" t="n">
        <f aca="false">'[3]Monthly Curve Calc.'!C129</f>
        <v>201.023570189647</v>
      </c>
      <c r="D126" s="1246" t="n">
        <f aca="false">'[3]Monthly Curve Calc.'!D129</f>
        <v>161.939533588498</v>
      </c>
      <c r="E126" s="1246" t="n">
        <f aca="false">'[3]Monthly Curve Calc.'!E129</f>
        <v>19.6217361111111</v>
      </c>
      <c r="F126" s="1247" t="n">
        <f aca="false">'[3]Monthly Curve Calc.'!F129</f>
        <v>2.3270624605217</v>
      </c>
      <c r="G126" s="1255" t="n">
        <f aca="false">IF(AND($A126&gt;G$16,MONTH($A126)=MONTH(G$16)),B125/B113,G125)</f>
        <v>1.07833075468112</v>
      </c>
      <c r="H126" s="1253" t="n">
        <f aca="false">IF(AND($A126&gt;H$16,MONTH($A126)=MONTH(H$16)),C125/C113,H125)</f>
        <v>1.02855302909737</v>
      </c>
      <c r="I126" s="1253" t="n">
        <f aca="false">IF(AND($A126&gt;I$16,MONTH($A126)=MONTH(I$16)),C125/C113-I$18,I125)</f>
        <v>1.02605302909737</v>
      </c>
      <c r="J126" s="1253" t="n">
        <f aca="false">IF(AND($A126&gt;J$16,MONTH($A126)=MONTH(J$16)),D125/D113,J125)</f>
        <v>1.02607905012551</v>
      </c>
      <c r="K126" s="1253" t="n">
        <f aca="false">IF($A126&gt;=K$16,IF(MONTH($A126)=MONTH(K$16),AVERAGE(E114:E125),K125),K125)</f>
        <v>19.9003645833333</v>
      </c>
      <c r="L126" s="1256" t="n">
        <f aca="false">IF($A126&gt;=L$16,IF(MONTH($A126)=MONTH(L$16),AVERAGE(F114:F125),L125),L125)</f>
        <v>2.23610820906301</v>
      </c>
      <c r="M126" s="1215" t="n">
        <f aca="false">M125+1</f>
        <v>114</v>
      </c>
      <c r="N126" s="1252" t="n">
        <f aca="false">HLOOKUP(N$14,Dec_Change,$M126)</f>
        <v>1.02855302909737</v>
      </c>
      <c r="O126" s="1253" t="n">
        <f aca="false">O125</f>
        <v>1.005</v>
      </c>
      <c r="P126" s="1256" t="n">
        <f aca="false">IF(AND($A126&gt;=P$16,MONTH($A126)=MONTH(P$16)),MAX(N126,O126)*P125,P125)</f>
        <v>1.23462294375966</v>
      </c>
    </row>
    <row r="127" customFormat="false" ht="12.75" hidden="false" customHeight="false" outlineLevel="0" collapsed="false">
      <c r="A127" s="1254" t="n">
        <f aca="false">EDATE(A126,1)</f>
        <v>38687</v>
      </c>
      <c r="B127" s="1245" t="n">
        <f aca="false">'[3]Monthly Curve Calc.'!B130</f>
        <v>286.291884368532</v>
      </c>
      <c r="C127" s="1246" t="n">
        <f aca="false">'[3]Monthly Curve Calc.'!C130</f>
        <v>201.490299659798</v>
      </c>
      <c r="D127" s="1246" t="n">
        <f aca="false">'[3]Monthly Curve Calc.'!D130</f>
        <v>162.267768504052</v>
      </c>
      <c r="E127" s="1246" t="n">
        <f aca="false">'[3]Monthly Curve Calc.'!E130</f>
        <v>19.6120833333333</v>
      </c>
      <c r="F127" s="1247" t="n">
        <f aca="false">'[3]Monthly Curve Calc.'!F130</f>
        <v>2.33250871825894</v>
      </c>
      <c r="G127" s="1255" t="n">
        <f aca="false">IF(AND($A127&gt;G$16,MONTH($A127)=MONTH(G$16)),B126/B114,G126)</f>
        <v>1.07833075468112</v>
      </c>
      <c r="H127" s="1253" t="n">
        <f aca="false">IF(AND($A127&gt;H$16,MONTH($A127)=MONTH(H$16)),C126/C114,H126)</f>
        <v>1.02855302909737</v>
      </c>
      <c r="I127" s="1253" t="n">
        <f aca="false">IF(AND($A127&gt;I$16,MONTH($A127)=MONTH(I$16)),C126/C114-I$18,I126)</f>
        <v>1.02605302909737</v>
      </c>
      <c r="J127" s="1253" t="n">
        <f aca="false">IF(AND($A127&gt;J$16,MONTH($A127)=MONTH(J$16)),D126/D114,J126)</f>
        <v>1.02607905012551</v>
      </c>
      <c r="K127" s="1253" t="n">
        <f aca="false">IF($A127&gt;=K$16,IF(MONTH($A127)=MONTH(K$16),AVERAGE(E115:E126),K126),K126)</f>
        <v>19.9003645833333</v>
      </c>
      <c r="L127" s="1256" t="n">
        <f aca="false">IF($A127&gt;=L$16,IF(MONTH($A127)=MONTH(L$16),AVERAGE(F115:F126),L126),L126)</f>
        <v>2.23610820906301</v>
      </c>
      <c r="M127" s="1215" t="n">
        <f aca="false">M126+1</f>
        <v>115</v>
      </c>
      <c r="N127" s="1252" t="n">
        <f aca="false">HLOOKUP(N$14,Dec_Change,$M127)</f>
        <v>1.02855302909737</v>
      </c>
      <c r="O127" s="1253" t="n">
        <f aca="false">O126</f>
        <v>1.005</v>
      </c>
      <c r="P127" s="1256" t="n">
        <f aca="false">IF(AND($A127&gt;=P$16,MONTH($A127)=MONTH(P$16)),MAX(N127,O127)*P126,P126)</f>
        <v>1.23462294375966</v>
      </c>
    </row>
    <row r="128" customFormat="false" ht="12.75" hidden="false" customHeight="false" outlineLevel="0" collapsed="false">
      <c r="A128" s="1254" t="n">
        <f aca="false">EDATE(A127,1)</f>
        <v>38718</v>
      </c>
      <c r="B128" s="1245" t="n">
        <f aca="false">'[3]Monthly Curve Calc.'!B131</f>
        <v>288.022495626852</v>
      </c>
      <c r="C128" s="1246" t="n">
        <f aca="false">'[3]Monthly Curve Calc.'!C131</f>
        <v>201.947265641857</v>
      </c>
      <c r="D128" s="1246" t="n">
        <f aca="false">'[3]Monthly Curve Calc.'!D131</f>
        <v>162.578032230373</v>
      </c>
      <c r="E128" s="1246" t="n">
        <f aca="false">'[3]Monthly Curve Calc.'!E131</f>
        <v>19.6094097222222</v>
      </c>
      <c r="F128" s="1247" t="n">
        <f aca="false">'[3]Monthly Curve Calc.'!F131</f>
        <v>2.33788261742251</v>
      </c>
      <c r="G128" s="1255" t="n">
        <f aca="false">IF(AND($A128&gt;G$16,MONTH($A128)=MONTH(G$16)),B127/B115,G127)</f>
        <v>1.07833075468112</v>
      </c>
      <c r="H128" s="1253" t="n">
        <f aca="false">IF(AND($A128&gt;H$16,MONTH($A128)=MONTH(H$16)),C127/C115,H127)</f>
        <v>1.02855302909737</v>
      </c>
      <c r="I128" s="1253" t="n">
        <f aca="false">IF(AND($A128&gt;I$16,MONTH($A128)=MONTH(I$16)),C127/C115-I$18,I127)</f>
        <v>1.02605302909737</v>
      </c>
      <c r="J128" s="1253" t="n">
        <f aca="false">IF(AND($A128&gt;J$16,MONTH($A128)=MONTH(J$16)),D127/D115,J127)</f>
        <v>1.02459576508431</v>
      </c>
      <c r="K128" s="1253" t="n">
        <f aca="false">IF($A128&gt;=K$16,IF(MONTH($A128)=MONTH(K$16),AVERAGE(E116:E127),K127),K127)</f>
        <v>19.6651736111111</v>
      </c>
      <c r="L128" s="1256" t="n">
        <f aca="false">IF($A128&gt;=L$16,IF(MONTH($A128)=MONTH(L$16),AVERAGE(F116:F127),L127),L127)</f>
        <v>2.30278621923876</v>
      </c>
      <c r="M128" s="1215" t="n">
        <f aca="false">M127+1</f>
        <v>116</v>
      </c>
      <c r="N128" s="1252" t="n">
        <f aca="false">HLOOKUP(N$14,Dec_Change,$M128)</f>
        <v>1.02855302909737</v>
      </c>
      <c r="O128" s="1253" t="n">
        <f aca="false">O127</f>
        <v>1.005</v>
      </c>
      <c r="P128" s="1256" t="n">
        <f aca="false">IF(AND($A128&gt;=P$16,MONTH($A128)=MONTH(P$16)),MAX(N128,O128)*P127,P127)</f>
        <v>1.23462294375966</v>
      </c>
    </row>
    <row r="129" customFormat="false" ht="12.75" hidden="false" customHeight="false" outlineLevel="0" collapsed="false">
      <c r="A129" s="1254" t="n">
        <f aca="false">EDATE(A128,1)</f>
        <v>38749</v>
      </c>
      <c r="B129" s="1245" t="n">
        <f aca="false">'[3]Monthly Curve Calc.'!B132</f>
        <v>289.76356829009</v>
      </c>
      <c r="C129" s="1246" t="n">
        <f aca="false">'[3]Monthly Curve Calc.'!C132</f>
        <v>202.405267990972</v>
      </c>
      <c r="D129" s="1246" t="n">
        <f aca="false">'[3]Monthly Curve Calc.'!D132</f>
        <v>162.888889195764</v>
      </c>
      <c r="E129" s="1246" t="n">
        <f aca="false">'[3]Monthly Curve Calc.'!E132</f>
        <v>19.6067361111111</v>
      </c>
      <c r="F129" s="1247" t="n">
        <f aca="false">'[3]Monthly Curve Calc.'!F132</f>
        <v>2.34326889758685</v>
      </c>
      <c r="G129" s="1255" t="n">
        <f aca="false">IF(AND($A129&gt;G$16,MONTH($A129)=MONTH(G$16)),B128/B116,G128)</f>
        <v>1.07833075468112</v>
      </c>
      <c r="H129" s="1253" t="n">
        <f aca="false">IF(AND($A129&gt;H$16,MONTH($A129)=MONTH(H$16)),C128/C116,H128)</f>
        <v>1.02855302909737</v>
      </c>
      <c r="I129" s="1253" t="n">
        <f aca="false">IF(AND($A129&gt;I$16,MONTH($A129)=MONTH(I$16)),C128/C116-I$18,I128)</f>
        <v>1.02605302909737</v>
      </c>
      <c r="J129" s="1253" t="n">
        <f aca="false">IF(AND($A129&gt;J$16,MONTH($A129)=MONTH(J$16)),D128/D116,J128)</f>
        <v>1.02459576508431</v>
      </c>
      <c r="K129" s="1253" t="n">
        <f aca="false">IF($A129&gt;=K$16,IF(MONTH($A129)=MONTH(K$16),AVERAGE(E117:E128),K128),K128)</f>
        <v>19.6651736111111</v>
      </c>
      <c r="L129" s="1256" t="n">
        <f aca="false">IF($A129&gt;=L$16,IF(MONTH($A129)=MONTH(L$16),AVERAGE(F117:F128),L128),L128)</f>
        <v>2.30278621923876</v>
      </c>
      <c r="M129" s="1215" t="n">
        <f aca="false">M128+1</f>
        <v>117</v>
      </c>
      <c r="N129" s="1252" t="n">
        <f aca="false">HLOOKUP(N$14,Dec_Change,$M129)</f>
        <v>1.02855302909737</v>
      </c>
      <c r="O129" s="1253" t="n">
        <f aca="false">O128</f>
        <v>1.005</v>
      </c>
      <c r="P129" s="1256" t="n">
        <f aca="false">IF(AND($A129&gt;=P$16,MONTH($A129)=MONTH(P$16)),MAX(N129,O129)*P128,P128)</f>
        <v>1.23462294375966</v>
      </c>
    </row>
    <row r="130" customFormat="false" ht="12.75" hidden="false" customHeight="false" outlineLevel="0" collapsed="false">
      <c r="A130" s="1254" t="n">
        <f aca="false">EDATE(A129,1)</f>
        <v>38777</v>
      </c>
      <c r="B130" s="1245" t="n">
        <f aca="false">'[3]Monthly Curve Calc.'!B133</f>
        <v>291.515165596594</v>
      </c>
      <c r="C130" s="1246" t="n">
        <f aca="false">'[3]Monthly Curve Calc.'!C133</f>
        <v>202.864309057552</v>
      </c>
      <c r="D130" s="1246" t="n">
        <f aca="false">'[3]Monthly Curve Calc.'!D133</f>
        <v>163.200340534524</v>
      </c>
      <c r="E130" s="1246" t="n">
        <f aca="false">'[3]Monthly Curve Calc.'!E133</f>
        <v>19.6040625</v>
      </c>
      <c r="F130" s="1247" t="n">
        <f aca="false">'[3]Monthly Curve Calc.'!F133</f>
        <v>2.34866758727671</v>
      </c>
      <c r="G130" s="1255" t="n">
        <f aca="false">IF(AND($A130&gt;G$16,MONTH($A130)=MONTH(G$16)),B129/B117,G129)</f>
        <v>1.07833075468112</v>
      </c>
      <c r="H130" s="1253" t="n">
        <f aca="false">IF(AND($A130&gt;H$16,MONTH($A130)=MONTH(H$16)),C129/C117,H129)</f>
        <v>1.02855302909737</v>
      </c>
      <c r="I130" s="1253" t="n">
        <f aca="false">IF(AND($A130&gt;I$16,MONTH($A130)=MONTH(I$16)),C129/C117-I$18,I129)</f>
        <v>1.02605302909737</v>
      </c>
      <c r="J130" s="1253" t="n">
        <f aca="false">IF(AND($A130&gt;J$16,MONTH($A130)=MONTH(J$16)),D129/D117,J129)</f>
        <v>1.02459576508431</v>
      </c>
      <c r="K130" s="1253" t="n">
        <f aca="false">IF($A130&gt;=K$16,IF(MONTH($A130)=MONTH(K$16),AVERAGE(E118:E129),K129),K129)</f>
        <v>19.6651736111111</v>
      </c>
      <c r="L130" s="1256" t="n">
        <f aca="false">IF($A130&gt;=L$16,IF(MONTH($A130)=MONTH(L$16),AVERAGE(F118:F129),L129),L129)</f>
        <v>2.30278621923876</v>
      </c>
      <c r="M130" s="1215" t="n">
        <f aca="false">M129+1</f>
        <v>118</v>
      </c>
      <c r="N130" s="1252" t="n">
        <f aca="false">HLOOKUP(N$14,Dec_Change,$M130)</f>
        <v>1.02855302909737</v>
      </c>
      <c r="O130" s="1253" t="n">
        <f aca="false">O129</f>
        <v>1.005</v>
      </c>
      <c r="P130" s="1256" t="n">
        <f aca="false">IF(AND($A130&gt;=P$16,MONTH($A130)=MONTH(P$16)),MAX(N130,O130)*P129,P129)</f>
        <v>1.23462294375966</v>
      </c>
    </row>
    <row r="131" customFormat="false" ht="12.75" hidden="false" customHeight="false" outlineLevel="0" collapsed="false">
      <c r="A131" s="1254" t="n">
        <f aca="false">EDATE(A130,1)</f>
        <v>38808</v>
      </c>
      <c r="B131" s="1245" t="n">
        <f aca="false">'[3]Monthly Curve Calc.'!B134</f>
        <v>293.277351166978</v>
      </c>
      <c r="C131" s="1246" t="n">
        <f aca="false">'[3]Monthly Curve Calc.'!C134</f>
        <v>203.324391197336</v>
      </c>
      <c r="D131" s="1246" t="n">
        <f aca="false">'[3]Monthly Curve Calc.'!D134</f>
        <v>163.512387383125</v>
      </c>
      <c r="E131" s="1246" t="n">
        <f aca="false">'[3]Monthly Curve Calc.'!E134</f>
        <v>19.6013888888889</v>
      </c>
      <c r="F131" s="1247" t="n">
        <f aca="false">'[3]Monthly Curve Calc.'!F134</f>
        <v>2.35407871508258</v>
      </c>
      <c r="G131" s="1255" t="n">
        <f aca="false">IF(AND($A131&gt;G$16,MONTH($A131)=MONTH(G$16)),B130/B118,G130)</f>
        <v>1.07833075468112</v>
      </c>
      <c r="H131" s="1253" t="n">
        <f aca="false">IF(AND($A131&gt;H$16,MONTH($A131)=MONTH(H$16)),C130/C118,H130)</f>
        <v>1.02855302909737</v>
      </c>
      <c r="I131" s="1253" t="n">
        <f aca="false">IF(AND($A131&gt;I$16,MONTH($A131)=MONTH(I$16)),C130/C118-I$18,I130)</f>
        <v>1.02605302909737</v>
      </c>
      <c r="J131" s="1253" t="n">
        <f aca="false">IF(AND($A131&gt;J$16,MONTH($A131)=MONTH(J$16)),D130/D118,J130)</f>
        <v>1.02459576508431</v>
      </c>
      <c r="K131" s="1253" t="n">
        <f aca="false">IF($A131&gt;=K$16,IF(MONTH($A131)=MONTH(K$16),AVERAGE(E119:E130),K130),K130)</f>
        <v>19.6651736111111</v>
      </c>
      <c r="L131" s="1256" t="n">
        <f aca="false">IF($A131&gt;=L$16,IF(MONTH($A131)=MONTH(L$16),AVERAGE(F119:F130),L130),L130)</f>
        <v>2.30278621923876</v>
      </c>
      <c r="M131" s="1215" t="n">
        <f aca="false">M130+1</f>
        <v>119</v>
      </c>
      <c r="N131" s="1252" t="n">
        <f aca="false">HLOOKUP(N$14,Dec_Change,$M131)</f>
        <v>1.02855302909737</v>
      </c>
      <c r="O131" s="1253" t="n">
        <f aca="false">O130</f>
        <v>1.005</v>
      </c>
      <c r="P131" s="1256" t="n">
        <f aca="false">IF(AND($A131&gt;=P$16,MONTH($A131)=MONTH(P$16)),MAX(N131,O131)*P130,P130)</f>
        <v>1.23462294375966</v>
      </c>
    </row>
    <row r="132" customFormat="false" ht="12.75" hidden="false" customHeight="false" outlineLevel="0" collapsed="false">
      <c r="A132" s="1254" t="n">
        <f aca="false">EDATE(A131,1)</f>
        <v>38838</v>
      </c>
      <c r="B132" s="1245" t="n">
        <f aca="false">'[3]Monthly Curve Calc.'!B135</f>
        <v>295.050189006441</v>
      </c>
      <c r="C132" s="1246" t="n">
        <f aca="false">'[3]Monthly Curve Calc.'!C135</f>
        <v>203.785516771405</v>
      </c>
      <c r="D132" s="1246" t="n">
        <f aca="false">'[3]Monthly Curve Calc.'!D135</f>
        <v>163.82503088021</v>
      </c>
      <c r="E132" s="1246" t="n">
        <f aca="false">'[3]Monthly Curve Calc.'!E135</f>
        <v>19.5987152777778</v>
      </c>
      <c r="F132" s="1247" t="n">
        <f aca="false">'[3]Monthly Curve Calc.'!F135</f>
        <v>2.35950230966078</v>
      </c>
      <c r="G132" s="1255" t="n">
        <f aca="false">IF(AND($A132&gt;G$16,MONTH($A132)=MONTH(G$16)),B131/B119,G131)</f>
        <v>1.075</v>
      </c>
      <c r="H132" s="1253" t="n">
        <f aca="false">IF(AND($A132&gt;H$16,MONTH($A132)=MONTH(H$16)),C131/C119,H131)</f>
        <v>1.02799884183511</v>
      </c>
      <c r="I132" s="1253" t="n">
        <f aca="false">IF(AND($A132&gt;I$16,MONTH($A132)=MONTH(I$16)),C131/C119-I$18,I131)</f>
        <v>1.02549884183511</v>
      </c>
      <c r="J132" s="1253" t="n">
        <f aca="false">IF(AND($A132&gt;J$16,MONTH($A132)=MONTH(J$16)),D131/D119,J131)</f>
        <v>1.02459576508431</v>
      </c>
      <c r="K132" s="1253" t="n">
        <f aca="false">IF($A132&gt;=K$16,IF(MONTH($A132)=MONTH(K$16),AVERAGE(E120:E131),K131),K131)</f>
        <v>19.6651736111111</v>
      </c>
      <c r="L132" s="1256" t="n">
        <f aca="false">IF($A132&gt;=L$16,IF(MONTH($A132)=MONTH(L$16),AVERAGE(F120:F131),L131),L131)</f>
        <v>2.30278621923876</v>
      </c>
      <c r="M132" s="1215" t="n">
        <f aca="false">M131+1</f>
        <v>120</v>
      </c>
      <c r="N132" s="1252" t="n">
        <f aca="false">HLOOKUP(N$14,Dec_Change,$M132)</f>
        <v>1.02799884183511</v>
      </c>
      <c r="O132" s="1253" t="n">
        <f aca="false">O131</f>
        <v>1.005</v>
      </c>
      <c r="P132" s="1256" t="n">
        <f aca="false">IF(AND($A132&gt;=P$16,MONTH($A132)=MONTH(P$16)),MAX(N132,O132)*P131,P131)</f>
        <v>1.26919095628799</v>
      </c>
    </row>
    <row r="133" customFormat="false" ht="12.75" hidden="false" customHeight="false" outlineLevel="0" collapsed="false">
      <c r="A133" s="1254" t="n">
        <f aca="false">EDATE(A132,1)</f>
        <v>38869</v>
      </c>
      <c r="B133" s="1245" t="n">
        <f aca="false">'[3]Monthly Curve Calc.'!B136</f>
        <v>296.833743507087</v>
      </c>
      <c r="C133" s="1246" t="n">
        <f aca="false">'[3]Monthly Curve Calc.'!C136</f>
        <v>204.247688146196</v>
      </c>
      <c r="D133" s="1246" t="n">
        <f aca="false">'[3]Monthly Curve Calc.'!D136</f>
        <v>164.138272166599</v>
      </c>
      <c r="E133" s="1246" t="n">
        <f aca="false">'[3]Monthly Curve Calc.'!E136</f>
        <v>19.5960416666667</v>
      </c>
      <c r="F133" s="1247" t="n">
        <f aca="false">'[3]Monthly Curve Calc.'!F136</f>
        <v>2.36493839973371</v>
      </c>
      <c r="G133" s="1255" t="n">
        <f aca="false">IF(AND($A133&gt;G$16,MONTH($A133)=MONTH(G$16)),B132/B120,G132)</f>
        <v>1.075</v>
      </c>
      <c r="H133" s="1253" t="n">
        <f aca="false">IF(AND($A133&gt;H$16,MONTH($A133)=MONTH(H$16)),C132/C120,H132)</f>
        <v>1.02799884183511</v>
      </c>
      <c r="I133" s="1253" t="n">
        <f aca="false">IF(AND($A133&gt;I$16,MONTH($A133)=MONTH(I$16)),C132/C120-I$18,I132)</f>
        <v>1.02549884183511</v>
      </c>
      <c r="J133" s="1253" t="n">
        <f aca="false">IF(AND($A133&gt;J$16,MONTH($A133)=MONTH(J$16)),D132/D120,J132)</f>
        <v>1.02459576508431</v>
      </c>
      <c r="K133" s="1253" t="n">
        <f aca="false">IF($A133&gt;=K$16,IF(MONTH($A133)=MONTH(K$16),AVERAGE(E121:E132),K132),K132)</f>
        <v>19.6651736111111</v>
      </c>
      <c r="L133" s="1256" t="n">
        <f aca="false">IF($A133&gt;=L$16,IF(MONTH($A133)=MONTH(L$16),AVERAGE(F121:F132),L132),L132)</f>
        <v>2.30278621923876</v>
      </c>
      <c r="M133" s="1215" t="n">
        <f aca="false">M132+1</f>
        <v>121</v>
      </c>
      <c r="N133" s="1252" t="n">
        <f aca="false">HLOOKUP(N$14,Dec_Change,$M133)</f>
        <v>1.02799884183511</v>
      </c>
      <c r="O133" s="1253" t="n">
        <f aca="false">O132</f>
        <v>1.005</v>
      </c>
      <c r="P133" s="1256" t="n">
        <f aca="false">IF(AND($A133&gt;=P$16,MONTH($A133)=MONTH(P$16)),MAX(N133,O133)*P132,P132)</f>
        <v>1.26919095628799</v>
      </c>
    </row>
    <row r="134" customFormat="false" ht="12.75" hidden="false" customHeight="false" outlineLevel="0" collapsed="false">
      <c r="A134" s="1254" t="n">
        <f aca="false">EDATE(A133,1)</f>
        <v>38899</v>
      </c>
      <c r="B134" s="1245" t="n">
        <f aca="false">'[3]Monthly Curve Calc.'!B137</f>
        <v>298.628079450265</v>
      </c>
      <c r="C134" s="1246" t="n">
        <f aca="false">'[3]Monthly Curve Calc.'!C137</f>
        <v>204.710907693511</v>
      </c>
      <c r="D134" s="1246" t="n">
        <f aca="false">'[3]Monthly Curve Calc.'!D137</f>
        <v>164.452112385293</v>
      </c>
      <c r="E134" s="1246" t="n">
        <f aca="false">'[3]Monthly Curve Calc.'!E137</f>
        <v>19.5933680555555</v>
      </c>
      <c r="F134" s="1247" t="n">
        <f aca="false">'[3]Monthly Curve Calc.'!F137</f>
        <v>2.3703870140899</v>
      </c>
      <c r="G134" s="1255" t="n">
        <f aca="false">IF(AND($A134&gt;G$16,MONTH($A134)=MONTH(G$16)),B133/B121,G133)</f>
        <v>1.075</v>
      </c>
      <c r="H134" s="1253" t="n">
        <f aca="false">IF(AND($A134&gt;H$16,MONTH($A134)=MONTH(H$16)),C133/C121,H133)</f>
        <v>1.02799884183511</v>
      </c>
      <c r="I134" s="1253" t="n">
        <f aca="false">IF(AND($A134&gt;I$16,MONTH($A134)=MONTH(I$16)),C133/C121-I$18,I133)</f>
        <v>1.02549884183511</v>
      </c>
      <c r="J134" s="1253" t="n">
        <f aca="false">IF(AND($A134&gt;J$16,MONTH($A134)=MONTH(J$16)),D133/D121,J133)</f>
        <v>1.02459576508431</v>
      </c>
      <c r="K134" s="1253" t="n">
        <f aca="false">IF($A134&gt;=K$16,IF(MONTH($A134)=MONTH(K$16),AVERAGE(E122:E133),K133),K133)</f>
        <v>19.6651736111111</v>
      </c>
      <c r="L134" s="1256" t="n">
        <f aca="false">IF($A134&gt;=L$16,IF(MONTH($A134)=MONTH(L$16),AVERAGE(F122:F133),L133),L133)</f>
        <v>2.30278621923876</v>
      </c>
      <c r="M134" s="1215" t="n">
        <f aca="false">M133+1</f>
        <v>122</v>
      </c>
      <c r="N134" s="1252" t="n">
        <f aca="false">HLOOKUP(N$14,Dec_Change,$M134)</f>
        <v>1.02799884183511</v>
      </c>
      <c r="O134" s="1253" t="n">
        <f aca="false">O133</f>
        <v>1.005</v>
      </c>
      <c r="P134" s="1256" t="n">
        <f aca="false">IF(AND($A134&gt;=P$16,MONTH($A134)=MONTH(P$16)),MAX(N134,O134)*P133,P133)</f>
        <v>1.26919095628799</v>
      </c>
    </row>
    <row r="135" customFormat="false" ht="12.75" hidden="false" customHeight="false" outlineLevel="0" collapsed="false">
      <c r="A135" s="1254" t="n">
        <f aca="false">EDATE(A134,1)</f>
        <v>38930</v>
      </c>
      <c r="B135" s="1245" t="n">
        <f aca="false">'[3]Monthly Curve Calc.'!B138</f>
        <v>300.433262008922</v>
      </c>
      <c r="C135" s="1246" t="n">
        <f aca="false">'[3]Monthly Curve Calc.'!C138</f>
        <v>205.175177790535</v>
      </c>
      <c r="D135" s="1246" t="n">
        <f aca="false">'[3]Monthly Curve Calc.'!D138</f>
        <v>164.766552681481</v>
      </c>
      <c r="E135" s="1246" t="n">
        <f aca="false">'[3]Monthly Curve Calc.'!E138</f>
        <v>19.5906944444444</v>
      </c>
      <c r="F135" s="1247" t="n">
        <f aca="false">'[3]Monthly Curve Calc.'!F138</f>
        <v>2.37584818158422</v>
      </c>
      <c r="G135" s="1255" t="n">
        <f aca="false">IF(AND($A135&gt;G$16,MONTH($A135)=MONTH(G$16)),B134/B122,G134)</f>
        <v>1.075</v>
      </c>
      <c r="H135" s="1253" t="n">
        <f aca="false">IF(AND($A135&gt;H$16,MONTH($A135)=MONTH(H$16)),C134/C122,H134)</f>
        <v>1.02799884183511</v>
      </c>
      <c r="I135" s="1253" t="n">
        <f aca="false">IF(AND($A135&gt;I$16,MONTH($A135)=MONTH(I$16)),C134/C122-I$18,I134)</f>
        <v>1.02549884183511</v>
      </c>
      <c r="J135" s="1253" t="n">
        <f aca="false">IF(AND($A135&gt;J$16,MONTH($A135)=MONTH(J$16)),D134/D122,J134)</f>
        <v>1.02459576508431</v>
      </c>
      <c r="K135" s="1253" t="n">
        <f aca="false">IF($A135&gt;=K$16,IF(MONTH($A135)=MONTH(K$16),AVERAGE(E123:E134),K134),K134)</f>
        <v>19.6651736111111</v>
      </c>
      <c r="L135" s="1256" t="n">
        <f aca="false">IF($A135&gt;=L$16,IF(MONTH($A135)=MONTH(L$16),AVERAGE(F123:F134),L134),L134)</f>
        <v>2.30278621923876</v>
      </c>
      <c r="M135" s="1215" t="n">
        <f aca="false">M134+1</f>
        <v>123</v>
      </c>
      <c r="N135" s="1252" t="n">
        <f aca="false">HLOOKUP(N$14,Dec_Change,$M135)</f>
        <v>1.02799884183511</v>
      </c>
      <c r="O135" s="1253" t="n">
        <f aca="false">O134</f>
        <v>1.005</v>
      </c>
      <c r="P135" s="1256" t="n">
        <f aca="false">IF(AND($A135&gt;=P$16,MONTH($A135)=MONTH(P$16)),MAX(N135,O135)*P134,P134)</f>
        <v>1.26919095628799</v>
      </c>
    </row>
    <row r="136" customFormat="false" ht="12.75" hidden="false" customHeight="false" outlineLevel="0" collapsed="false">
      <c r="A136" s="1254" t="n">
        <f aca="false">EDATE(A135,1)</f>
        <v>38961</v>
      </c>
      <c r="B136" s="1245" t="n">
        <f aca="false">'[3]Monthly Curve Calc.'!B139</f>
        <v>302.249356749969</v>
      </c>
      <c r="C136" s="1246" t="n">
        <f aca="false">'[3]Monthly Curve Calc.'!C139</f>
        <v>205.640500819839</v>
      </c>
      <c r="D136" s="1246" t="n">
        <f aca="false">'[3]Monthly Curve Calc.'!D139</f>
        <v>165.081594202539</v>
      </c>
      <c r="E136" s="1246" t="n">
        <f aca="false">'[3]Monthly Curve Calc.'!E139</f>
        <v>19.5880208333333</v>
      </c>
      <c r="F136" s="1247" t="n">
        <f aca="false">'[3]Monthly Curve Calc.'!F139</f>
        <v>2.38132193113802</v>
      </c>
      <c r="G136" s="1255" t="n">
        <f aca="false">IF(AND($A136&gt;G$16,MONTH($A136)=MONTH(G$16)),B135/B123,G135)</f>
        <v>1.075</v>
      </c>
      <c r="H136" s="1253" t="n">
        <f aca="false">IF(AND($A136&gt;H$16,MONTH($A136)=MONTH(H$16)),C135/C123,H135)</f>
        <v>1.02799884183511</v>
      </c>
      <c r="I136" s="1253" t="n">
        <f aca="false">IF(AND($A136&gt;I$16,MONTH($A136)=MONTH(I$16)),C135/C123-I$18,I135)</f>
        <v>1.02549884183511</v>
      </c>
      <c r="J136" s="1253" t="n">
        <f aca="false">IF(AND($A136&gt;J$16,MONTH($A136)=MONTH(J$16)),D135/D123,J135)</f>
        <v>1.02459576508431</v>
      </c>
      <c r="K136" s="1253" t="n">
        <f aca="false">IF($A136&gt;=K$16,IF(MONTH($A136)=MONTH(K$16),AVERAGE(E124:E135),K135),K135)</f>
        <v>19.6651736111111</v>
      </c>
      <c r="L136" s="1256" t="n">
        <f aca="false">IF($A136&gt;=L$16,IF(MONTH($A136)=MONTH(L$16),AVERAGE(F124:F135),L135),L135)</f>
        <v>2.30278621923876</v>
      </c>
      <c r="M136" s="1215" t="n">
        <f aca="false">M135+1</f>
        <v>124</v>
      </c>
      <c r="N136" s="1252" t="n">
        <f aca="false">HLOOKUP(N$14,Dec_Change,$M136)</f>
        <v>1.02799884183511</v>
      </c>
      <c r="O136" s="1253" t="n">
        <f aca="false">O135</f>
        <v>1.005</v>
      </c>
      <c r="P136" s="1256" t="n">
        <f aca="false">IF(AND($A136&gt;=P$16,MONTH($A136)=MONTH(P$16)),MAX(N136,O136)*P135,P135)</f>
        <v>1.26919095628799</v>
      </c>
    </row>
    <row r="137" customFormat="false" ht="12.75" hidden="false" customHeight="false" outlineLevel="0" collapsed="false">
      <c r="A137" s="1254" t="n">
        <f aca="false">EDATE(A136,1)</f>
        <v>38991</v>
      </c>
      <c r="B137" s="1245" t="n">
        <f aca="false">'[3]Monthly Curve Calc.'!B140</f>
        <v>304.076429636667</v>
      </c>
      <c r="C137" s="1246" t="n">
        <f aca="false">'[3]Monthly Curve Calc.'!C140</f>
        <v>206.106879169401</v>
      </c>
      <c r="D137" s="1246" t="n">
        <f aca="false">'[3]Monthly Curve Calc.'!D140</f>
        <v>165.397238098037</v>
      </c>
      <c r="E137" s="1246" t="n">
        <f aca="false">'[3]Monthly Curve Calc.'!E140</f>
        <v>19.5853472222222</v>
      </c>
      <c r="F137" s="1247" t="n">
        <f aca="false">'[3]Monthly Curve Calc.'!F140</f>
        <v>2.38680829173927</v>
      </c>
      <c r="G137" s="1255" t="n">
        <f aca="false">IF(AND($A137&gt;G$16,MONTH($A137)=MONTH(G$16)),B136/B124,G136)</f>
        <v>1.075</v>
      </c>
      <c r="H137" s="1253" t="n">
        <f aca="false">IF(AND($A137&gt;H$16,MONTH($A137)=MONTH(H$16)),C136/C124,H136)</f>
        <v>1.02799884183511</v>
      </c>
      <c r="I137" s="1253" t="n">
        <f aca="false">IF(AND($A137&gt;I$16,MONTH($A137)=MONTH(I$16)),C136/C124-I$18,I136)</f>
        <v>1.02549884183511</v>
      </c>
      <c r="J137" s="1253" t="n">
        <f aca="false">IF(AND($A137&gt;J$16,MONTH($A137)=MONTH(J$16)),D136/D124,J136)</f>
        <v>1.02459576508431</v>
      </c>
      <c r="K137" s="1253" t="n">
        <f aca="false">IF($A137&gt;=K$16,IF(MONTH($A137)=MONTH(K$16),AVERAGE(E125:E136),K136),K136)</f>
        <v>19.6651736111111</v>
      </c>
      <c r="L137" s="1256" t="n">
        <f aca="false">IF($A137&gt;=L$16,IF(MONTH($A137)=MONTH(L$16),AVERAGE(F125:F136),L136),L136)</f>
        <v>2.30278621923876</v>
      </c>
      <c r="M137" s="1215" t="n">
        <f aca="false">M136+1</f>
        <v>125</v>
      </c>
      <c r="N137" s="1252" t="n">
        <f aca="false">HLOOKUP(N$14,Dec_Change,$M137)</f>
        <v>1.02799884183511</v>
      </c>
      <c r="O137" s="1253" t="n">
        <f aca="false">O136</f>
        <v>1.005</v>
      </c>
      <c r="P137" s="1256" t="n">
        <f aca="false">IF(AND($A137&gt;=P$16,MONTH($A137)=MONTH(P$16)),MAX(N137,O137)*P136,P136)</f>
        <v>1.26919095628799</v>
      </c>
    </row>
    <row r="138" customFormat="false" ht="12.75" hidden="false" customHeight="false" outlineLevel="0" collapsed="false">
      <c r="A138" s="1254" t="n">
        <f aca="false">EDATE(A137,1)</f>
        <v>39022</v>
      </c>
      <c r="B138" s="1245" t="n">
        <f aca="false">'[3]Monthly Curve Calc.'!B141</f>
        <v>305.914547031016</v>
      </c>
      <c r="C138" s="1246" t="n">
        <f aca="false">'[3]Monthly Curve Calc.'!C141</f>
        <v>206.574315232615</v>
      </c>
      <c r="D138" s="1246" t="n">
        <f aca="false">'[3]Monthly Curve Calc.'!D141</f>
        <v>165.713485519744</v>
      </c>
      <c r="E138" s="1246" t="n">
        <f aca="false">'[3]Monthly Curve Calc.'!E141</f>
        <v>19.5826736111111</v>
      </c>
      <c r="F138" s="1247" t="n">
        <f aca="false">'[3]Monthly Curve Calc.'!F141</f>
        <v>2.39230729244276</v>
      </c>
      <c r="G138" s="1255" t="n">
        <f aca="false">IF(AND($A138&gt;G$16,MONTH($A138)=MONTH(G$16)),B137/B125,G137)</f>
        <v>1.075</v>
      </c>
      <c r="H138" s="1253" t="n">
        <f aca="false">IF(AND($A138&gt;H$16,MONTH($A138)=MONTH(H$16)),C137/C125,H137)</f>
        <v>1.02799884183511</v>
      </c>
      <c r="I138" s="1253" t="n">
        <f aca="false">IF(AND($A138&gt;I$16,MONTH($A138)=MONTH(I$16)),C137/C125-I$18,I137)</f>
        <v>1.02549884183511</v>
      </c>
      <c r="J138" s="1253" t="n">
        <f aca="false">IF(AND($A138&gt;J$16,MONTH($A138)=MONTH(J$16)),D137/D125,J137)</f>
        <v>1.02459576508431</v>
      </c>
      <c r="K138" s="1253" t="n">
        <f aca="false">IF($A138&gt;=K$16,IF(MONTH($A138)=MONTH(K$16),AVERAGE(E126:E137),K137),K137)</f>
        <v>19.6651736111111</v>
      </c>
      <c r="L138" s="1256" t="n">
        <f aca="false">IF($A138&gt;=L$16,IF(MONTH($A138)=MONTH(L$16),AVERAGE(F126:F137),L137),L137)</f>
        <v>2.30278621923876</v>
      </c>
      <c r="M138" s="1215" t="n">
        <f aca="false">M137+1</f>
        <v>126</v>
      </c>
      <c r="N138" s="1252" t="n">
        <f aca="false">HLOOKUP(N$14,Dec_Change,$M138)</f>
        <v>1.02799884183511</v>
      </c>
      <c r="O138" s="1253" t="n">
        <f aca="false">O137</f>
        <v>1.005</v>
      </c>
      <c r="P138" s="1256" t="n">
        <f aca="false">IF(AND($A138&gt;=P$16,MONTH($A138)=MONTH(P$16)),MAX(N138,O138)*P137,P137)</f>
        <v>1.26919095628799</v>
      </c>
    </row>
    <row r="139" customFormat="false" ht="12.75" hidden="false" customHeight="false" outlineLevel="0" collapsed="false">
      <c r="A139" s="1254" t="n">
        <f aca="false">EDATE(A138,1)</f>
        <v>39052</v>
      </c>
      <c r="B139" s="1245" t="n">
        <f aca="false">'[3]Monthly Curve Calc.'!B142</f>
        <v>307.763775696172</v>
      </c>
      <c r="C139" s="1246" t="n">
        <f aca="false">'[3]Monthly Curve Calc.'!C142</f>
        <v>207.0428114083</v>
      </c>
      <c r="D139" s="1246" t="n">
        <f aca="false">'[3]Monthly Curve Calc.'!D142</f>
        <v>166.030337621631</v>
      </c>
      <c r="E139" s="1246" t="n">
        <f aca="false">'[3]Monthly Curve Calc.'!E142</f>
        <v>19.58</v>
      </c>
      <c r="F139" s="1247" t="n">
        <f aca="false">'[3]Monthly Curve Calc.'!F142</f>
        <v>2.39781896237018</v>
      </c>
      <c r="G139" s="1255" t="n">
        <f aca="false">IF(AND($A139&gt;G$16,MONTH($A139)=MONTH(G$16)),B138/B126,G138)</f>
        <v>1.075</v>
      </c>
      <c r="H139" s="1253" t="n">
        <f aca="false">IF(AND($A139&gt;H$16,MONTH($A139)=MONTH(H$16)),C138/C126,H138)</f>
        <v>1.02799884183511</v>
      </c>
      <c r="I139" s="1253" t="n">
        <f aca="false">IF(AND($A139&gt;I$16,MONTH($A139)=MONTH(I$16)),C138/C126-I$18,I138)</f>
        <v>1.02549884183511</v>
      </c>
      <c r="J139" s="1253" t="n">
        <f aca="false">IF(AND($A139&gt;J$16,MONTH($A139)=MONTH(J$16)),D138/D126,J138)</f>
        <v>1.02459576508431</v>
      </c>
      <c r="K139" s="1253" t="n">
        <f aca="false">IF($A139&gt;=K$16,IF(MONTH($A139)=MONTH(K$16),AVERAGE(E127:E138),K138),K138)</f>
        <v>19.6651736111111</v>
      </c>
      <c r="L139" s="1256" t="n">
        <f aca="false">IF($A139&gt;=L$16,IF(MONTH($A139)=MONTH(L$16),AVERAGE(F127:F138),L138),L138)</f>
        <v>2.30278621923876</v>
      </c>
      <c r="M139" s="1215" t="n">
        <f aca="false">M138+1</f>
        <v>127</v>
      </c>
      <c r="N139" s="1252" t="n">
        <f aca="false">HLOOKUP(N$14,Dec_Change,$M139)</f>
        <v>1.02799884183511</v>
      </c>
      <c r="O139" s="1253" t="n">
        <f aca="false">O138</f>
        <v>1.005</v>
      </c>
      <c r="P139" s="1256" t="n">
        <f aca="false">IF(AND($A139&gt;=P$16,MONTH($A139)=MONTH(P$16)),MAX(N139,O139)*P138,P138)</f>
        <v>1.26919095628799</v>
      </c>
    </row>
    <row r="140" customFormat="false" ht="12.75" hidden="false" customHeight="false" outlineLevel="0" collapsed="false">
      <c r="A140" s="1254" t="n">
        <f aca="false">EDATE(A139,1)</f>
        <v>39083</v>
      </c>
      <c r="B140" s="1245" t="n">
        <f aca="false">'[3]Monthly Curve Calc.'!B143</f>
        <v>309.624182798865</v>
      </c>
      <c r="C140" s="1246" t="n">
        <f aca="false">'[3]Monthly Curve Calc.'!C143</f>
        <v>207.501638963156</v>
      </c>
      <c r="D140" s="1246" t="n">
        <f aca="false">'[3]Monthly Curve Calc.'!D143</f>
        <v>166.327459636305</v>
      </c>
      <c r="E140" s="1246" t="n">
        <f aca="false">'[3]Monthly Curve Calc.'!E143</f>
        <v>19.605</v>
      </c>
      <c r="F140" s="1247" t="n">
        <f aca="false">'[3]Monthly Curve Calc.'!F143</f>
        <v>2.40318207825579</v>
      </c>
      <c r="G140" s="1255" t="n">
        <f aca="false">IF(AND($A140&gt;G$16,MONTH($A140)=MONTH(G$16)),B139/B127,G139)</f>
        <v>1.075</v>
      </c>
      <c r="H140" s="1253" t="n">
        <f aca="false">IF(AND($A140&gt;H$16,MONTH($A140)=MONTH(H$16)),C139/C127,H139)</f>
        <v>1.02799884183511</v>
      </c>
      <c r="I140" s="1253" t="n">
        <f aca="false">IF(AND($A140&gt;I$16,MONTH($A140)=MONTH(I$16)),C139/C127-I$18,I139)</f>
        <v>1.02549884183511</v>
      </c>
      <c r="J140" s="1253" t="n">
        <f aca="false">IF(AND($A140&gt;J$16,MONTH($A140)=MONTH(J$16)),D139/D127,J139)</f>
        <v>1.02318740901084</v>
      </c>
      <c r="K140" s="1253" t="n">
        <f aca="false">IF($A140&gt;=K$16,IF(MONTH($A140)=MONTH(K$16),AVERAGE(E128:E139),K139),K139)</f>
        <v>19.5947048611111</v>
      </c>
      <c r="L140" s="1256" t="n">
        <f aca="false">IF($A140&gt;=L$16,IF(MONTH($A140)=MONTH(L$16),AVERAGE(F128:F139),L139),L139)</f>
        <v>2.36773585001062</v>
      </c>
      <c r="M140" s="1215" t="n">
        <f aca="false">M139+1</f>
        <v>128</v>
      </c>
      <c r="N140" s="1252" t="n">
        <f aca="false">HLOOKUP(N$14,Dec_Change,$M140)</f>
        <v>1.02799884183511</v>
      </c>
      <c r="O140" s="1253" t="n">
        <f aca="false">O139</f>
        <v>1.005</v>
      </c>
      <c r="P140" s="1256" t="n">
        <f aca="false">IF(AND($A140&gt;=P$16,MONTH($A140)=MONTH(P$16)),MAX(N140,O140)*P139,P139)</f>
        <v>1.26919095628799</v>
      </c>
    </row>
    <row r="141" customFormat="false" ht="12.75" hidden="false" customHeight="false" outlineLevel="0" collapsed="false">
      <c r="A141" s="1254" t="n">
        <f aca="false">EDATE(A140,1)</f>
        <v>39114</v>
      </c>
      <c r="B141" s="1245" t="n">
        <f aca="false">'[3]Monthly Curve Calc.'!B144</f>
        <v>311.495835911847</v>
      </c>
      <c r="C141" s="1246" t="n">
        <f aca="false">'[3]Monthly Curve Calc.'!C144</f>
        <v>207.961483325712</v>
      </c>
      <c r="D141" s="1246" t="n">
        <f aca="false">'[3]Monthly Curve Calc.'!D144</f>
        <v>166.625113370018</v>
      </c>
      <c r="E141" s="1246" t="n">
        <f aca="false">'[3]Monthly Curve Calc.'!E144</f>
        <v>19.63</v>
      </c>
      <c r="F141" s="1247" t="n">
        <f aca="false">'[3]Monthly Curve Calc.'!F144</f>
        <v>2.40855718963083</v>
      </c>
      <c r="G141" s="1255" t="n">
        <f aca="false">IF(AND($A141&gt;G$16,MONTH($A141)=MONTH(G$16)),B140/B128,G140)</f>
        <v>1.075</v>
      </c>
      <c r="H141" s="1253" t="n">
        <f aca="false">IF(AND($A141&gt;H$16,MONTH($A141)=MONTH(H$16)),C140/C128,H140)</f>
        <v>1.02799884183511</v>
      </c>
      <c r="I141" s="1253" t="n">
        <f aca="false">IF(AND($A141&gt;I$16,MONTH($A141)=MONTH(I$16)),C140/C128-I$18,I140)</f>
        <v>1.02549884183511</v>
      </c>
      <c r="J141" s="1253" t="n">
        <f aca="false">IF(AND($A141&gt;J$16,MONTH($A141)=MONTH(J$16)),D140/D128,J140)</f>
        <v>1.02318740901084</v>
      </c>
      <c r="K141" s="1253" t="n">
        <f aca="false">IF($A141&gt;=K$16,IF(MONTH($A141)=MONTH(K$16),AVERAGE(E129:E140),K140),K140)</f>
        <v>19.5947048611111</v>
      </c>
      <c r="L141" s="1256" t="n">
        <f aca="false">IF($A141&gt;=L$16,IF(MONTH($A141)=MONTH(L$16),AVERAGE(F129:F140),L140),L140)</f>
        <v>2.36773585001062</v>
      </c>
      <c r="M141" s="1215" t="n">
        <f aca="false">M140+1</f>
        <v>129</v>
      </c>
      <c r="N141" s="1252" t="n">
        <f aca="false">HLOOKUP(N$14,Dec_Change,$M141)</f>
        <v>1.02799884183511</v>
      </c>
      <c r="O141" s="1253" t="n">
        <f aca="false">O140</f>
        <v>1.005</v>
      </c>
      <c r="P141" s="1256" t="n">
        <f aca="false">IF(AND($A141&gt;=P$16,MONTH($A141)=MONTH(P$16)),MAX(N141,O141)*P140,P140)</f>
        <v>1.26919095628799</v>
      </c>
    </row>
    <row r="142" customFormat="false" ht="12.75" hidden="false" customHeight="false" outlineLevel="0" collapsed="false">
      <c r="A142" s="1254" t="n">
        <f aca="false">EDATE(A141,1)</f>
        <v>39142</v>
      </c>
      <c r="B142" s="1245" t="n">
        <f aca="false">'[3]Monthly Curve Calc.'!B145</f>
        <v>313.378803016338</v>
      </c>
      <c r="C142" s="1246" t="n">
        <f aca="false">'[3]Monthly Curve Calc.'!C145</f>
        <v>208.422346749317</v>
      </c>
      <c r="D142" s="1246" t="n">
        <f aca="false">'[3]Monthly Curve Calc.'!D145</f>
        <v>166.923299774316</v>
      </c>
      <c r="E142" s="1246" t="n">
        <f aca="false">'[3]Monthly Curve Calc.'!E145</f>
        <v>19.655</v>
      </c>
      <c r="F142" s="1247" t="n">
        <f aca="false">'[3]Monthly Curve Calc.'!F145</f>
        <v>2.41394432332517</v>
      </c>
      <c r="G142" s="1255" t="n">
        <f aca="false">IF(AND($A142&gt;G$16,MONTH($A142)=MONTH(G$16)),B141/B129,G141)</f>
        <v>1.075</v>
      </c>
      <c r="H142" s="1253" t="n">
        <f aca="false">IF(AND($A142&gt;H$16,MONTH($A142)=MONTH(H$16)),C141/C129,H141)</f>
        <v>1.02799884183511</v>
      </c>
      <c r="I142" s="1253" t="n">
        <f aca="false">IF(AND($A142&gt;I$16,MONTH($A142)=MONTH(I$16)),C141/C129-I$18,I141)</f>
        <v>1.02549884183511</v>
      </c>
      <c r="J142" s="1253" t="n">
        <f aca="false">IF(AND($A142&gt;J$16,MONTH($A142)=MONTH(J$16)),D141/D129,J141)</f>
        <v>1.02318740901084</v>
      </c>
      <c r="K142" s="1253" t="n">
        <f aca="false">IF($A142&gt;=K$16,IF(MONTH($A142)=MONTH(K$16),AVERAGE(E130:E141),K141),K141)</f>
        <v>19.5947048611111</v>
      </c>
      <c r="L142" s="1256" t="n">
        <f aca="false">IF($A142&gt;=L$16,IF(MONTH($A142)=MONTH(L$16),AVERAGE(F130:F141),L141),L141)</f>
        <v>2.36773585001062</v>
      </c>
      <c r="M142" s="1215" t="n">
        <f aca="false">M141+1</f>
        <v>130</v>
      </c>
      <c r="N142" s="1252" t="n">
        <f aca="false">HLOOKUP(N$14,Dec_Change,$M142)</f>
        <v>1.02799884183511</v>
      </c>
      <c r="O142" s="1253" t="n">
        <f aca="false">O141</f>
        <v>1.005</v>
      </c>
      <c r="P142" s="1256" t="n">
        <f aca="false">IF(AND($A142&gt;=P$16,MONTH($A142)=MONTH(P$16)),MAX(N142,O142)*P141,P141)</f>
        <v>1.26919095628799</v>
      </c>
    </row>
    <row r="143" customFormat="false" ht="12.75" hidden="false" customHeight="false" outlineLevel="0" collapsed="false">
      <c r="A143" s="1254" t="n">
        <f aca="false">EDATE(A142,1)</f>
        <v>39173</v>
      </c>
      <c r="B143" s="1245" t="n">
        <f aca="false">'[3]Monthly Curve Calc.'!B146</f>
        <v>315.273152504501</v>
      </c>
      <c r="C143" s="1246" t="n">
        <f aca="false">'[3]Monthly Curve Calc.'!C146</f>
        <v>208.884231492312</v>
      </c>
      <c r="D143" s="1246" t="n">
        <f aca="false">'[3]Monthly Curve Calc.'!D146</f>
        <v>167.222019802447</v>
      </c>
      <c r="E143" s="1246" t="n">
        <f aca="false">'[3]Monthly Curve Calc.'!E146</f>
        <v>19.68</v>
      </c>
      <c r="F143" s="1247" t="n">
        <f aca="false">'[3]Monthly Curve Calc.'!F146</f>
        <v>2.41934350622871</v>
      </c>
      <c r="G143" s="1255" t="n">
        <f aca="false">IF(AND($A143&gt;G$16,MONTH($A143)=MONTH(G$16)),B142/B130,G142)</f>
        <v>1.075</v>
      </c>
      <c r="H143" s="1253" t="n">
        <f aca="false">IF(AND($A143&gt;H$16,MONTH($A143)=MONTH(H$16)),C142/C130,H142)</f>
        <v>1.02799884183511</v>
      </c>
      <c r="I143" s="1253" t="n">
        <f aca="false">IF(AND($A143&gt;I$16,MONTH($A143)=MONTH(I$16)),C142/C130-I$18,I142)</f>
        <v>1.02549884183511</v>
      </c>
      <c r="J143" s="1253" t="n">
        <f aca="false">IF(AND($A143&gt;J$16,MONTH($A143)=MONTH(J$16)),D142/D130,J142)</f>
        <v>1.02318740901084</v>
      </c>
      <c r="K143" s="1253" t="n">
        <f aca="false">IF($A143&gt;=K$16,IF(MONTH($A143)=MONTH(K$16),AVERAGE(E131:E142),K142),K142)</f>
        <v>19.5947048611111</v>
      </c>
      <c r="L143" s="1256" t="n">
        <f aca="false">IF($A143&gt;=L$16,IF(MONTH($A143)=MONTH(L$16),AVERAGE(F131:F142),L142),L142)</f>
        <v>2.36773585001062</v>
      </c>
      <c r="M143" s="1215" t="n">
        <f aca="false">M142+1</f>
        <v>131</v>
      </c>
      <c r="N143" s="1252" t="n">
        <f aca="false">HLOOKUP(N$14,Dec_Change,$M143)</f>
        <v>1.02799884183511</v>
      </c>
      <c r="O143" s="1253" t="n">
        <f aca="false">O142</f>
        <v>1.005</v>
      </c>
      <c r="P143" s="1256" t="n">
        <f aca="false">IF(AND($A143&gt;=P$16,MONTH($A143)=MONTH(P$16)),MAX(N143,O143)*P142,P142)</f>
        <v>1.26919095628799</v>
      </c>
    </row>
    <row r="144" customFormat="false" ht="12.75" hidden="false" customHeight="false" outlineLevel="0" collapsed="false">
      <c r="A144" s="1254" t="n">
        <f aca="false">EDATE(A143,1)</f>
        <v>39203</v>
      </c>
      <c r="B144" s="1245" t="n">
        <f aca="false">'[3]Monthly Curve Calc.'!B147</f>
        <v>317.178953181924</v>
      </c>
      <c r="C144" s="1246" t="n">
        <f aca="false">'[3]Monthly Curve Calc.'!C147</f>
        <v>209.347139818042</v>
      </c>
      <c r="D144" s="1246" t="n">
        <f aca="false">'[3]Monthly Curve Calc.'!D147</f>
        <v>167.521274409365</v>
      </c>
      <c r="E144" s="1246" t="n">
        <f aca="false">'[3]Monthly Curve Calc.'!E147</f>
        <v>19.705</v>
      </c>
      <c r="F144" s="1247" t="n">
        <f aca="false">'[3]Monthly Curve Calc.'!F147</f>
        <v>2.42475476529148</v>
      </c>
      <c r="G144" s="1255" t="n">
        <f aca="false">IF(AND($A144&gt;G$16,MONTH($A144)=MONTH(G$16)),B143/B131,G143)</f>
        <v>1.075</v>
      </c>
      <c r="H144" s="1253" t="n">
        <f aca="false">IF(AND($A144&gt;H$16,MONTH($A144)=MONTH(H$16)),C143/C131,H143)</f>
        <v>1.02734467941714</v>
      </c>
      <c r="I144" s="1253" t="n">
        <f aca="false">IF(AND($A144&gt;I$16,MONTH($A144)=MONTH(I$16)),C143/C131-I$18,I143)</f>
        <v>1.02484467941714</v>
      </c>
      <c r="J144" s="1253" t="n">
        <f aca="false">IF(AND($A144&gt;J$16,MONTH($A144)=MONTH(J$16)),D143/D131,J143)</f>
        <v>1.02318740901084</v>
      </c>
      <c r="K144" s="1253" t="n">
        <f aca="false">IF($A144&gt;=K$16,IF(MONTH($A144)=MONTH(K$16),AVERAGE(E132:E143),K143),K143)</f>
        <v>19.5947048611111</v>
      </c>
      <c r="L144" s="1256" t="n">
        <f aca="false">IF($A144&gt;=L$16,IF(MONTH($A144)=MONTH(L$16),AVERAGE(F132:F143),L143),L143)</f>
        <v>2.36773585001062</v>
      </c>
      <c r="M144" s="1215" t="n">
        <f aca="false">M143+1</f>
        <v>132</v>
      </c>
      <c r="N144" s="1252" t="n">
        <f aca="false">HLOOKUP(N$14,Dec_Change,$M144)</f>
        <v>1.02734467941714</v>
      </c>
      <c r="O144" s="1253" t="n">
        <f aca="false">O143</f>
        <v>1.005</v>
      </c>
      <c r="P144" s="1256" t="n">
        <f aca="false">IF(AND($A144&gt;=P$16,MONTH($A144)=MONTH(P$16)),MAX(N144,O144)*P143,P143)</f>
        <v>1.30389657610682</v>
      </c>
    </row>
    <row r="145" customFormat="false" ht="12.75" hidden="false" customHeight="false" outlineLevel="0" collapsed="false">
      <c r="A145" s="1254" t="n">
        <f aca="false">EDATE(A144,1)</f>
        <v>39234</v>
      </c>
      <c r="B145" s="1245" t="n">
        <f aca="false">'[3]Monthly Curve Calc.'!B148</f>
        <v>319.096274270119</v>
      </c>
      <c r="C145" s="1246" t="n">
        <f aca="false">'[3]Monthly Curve Calc.'!C148</f>
        <v>209.811073994869</v>
      </c>
      <c r="D145" s="1246" t="n">
        <f aca="false">'[3]Monthly Curve Calc.'!D148</f>
        <v>167.821064551734</v>
      </c>
      <c r="E145" s="1246" t="n">
        <f aca="false">'[3]Monthly Curve Calc.'!E148</f>
        <v>19.73</v>
      </c>
      <c r="F145" s="1247" t="n">
        <f aca="false">'[3]Monthly Curve Calc.'!F148</f>
        <v>2.4301781275238</v>
      </c>
      <c r="G145" s="1255" t="n">
        <f aca="false">IF(AND($A145&gt;G$16,MONTH($A145)=MONTH(G$16)),B144/B132,G144)</f>
        <v>1.075</v>
      </c>
      <c r="H145" s="1253" t="n">
        <f aca="false">IF(AND($A145&gt;H$16,MONTH($A145)=MONTH(H$16)),C144/C132,H144)</f>
        <v>1.02734467941714</v>
      </c>
      <c r="I145" s="1253" t="n">
        <f aca="false">IF(AND($A145&gt;I$16,MONTH($A145)=MONTH(I$16)),C144/C132-I$18,I144)</f>
        <v>1.02484467941714</v>
      </c>
      <c r="J145" s="1253" t="n">
        <f aca="false">IF(AND($A145&gt;J$16,MONTH($A145)=MONTH(J$16)),D144/D132,J144)</f>
        <v>1.02318740901084</v>
      </c>
      <c r="K145" s="1253" t="n">
        <f aca="false">IF($A145&gt;=K$16,IF(MONTH($A145)=MONTH(K$16),AVERAGE(E133:E144),K144),K144)</f>
        <v>19.5947048611111</v>
      </c>
      <c r="L145" s="1256" t="n">
        <f aca="false">IF($A145&gt;=L$16,IF(MONTH($A145)=MONTH(L$16),AVERAGE(F133:F144),L144),L144)</f>
        <v>2.36773585001062</v>
      </c>
      <c r="M145" s="1215" t="n">
        <f aca="false">M144+1</f>
        <v>133</v>
      </c>
      <c r="N145" s="1252" t="n">
        <f aca="false">HLOOKUP(N$14,Dec_Change,$M145)</f>
        <v>1.02734467941714</v>
      </c>
      <c r="O145" s="1253" t="n">
        <f aca="false">O144</f>
        <v>1.005</v>
      </c>
      <c r="P145" s="1256" t="n">
        <f aca="false">IF(AND($A145&gt;=P$16,MONTH($A145)=MONTH(P$16)),MAX(N145,O145)*P144,P144)</f>
        <v>1.30389657610682</v>
      </c>
    </row>
    <row r="146" customFormat="false" ht="12.75" hidden="false" customHeight="false" outlineLevel="0" collapsed="false">
      <c r="A146" s="1254" t="n">
        <f aca="false">EDATE(A145,1)</f>
        <v>39264</v>
      </c>
      <c r="B146" s="1245" t="n">
        <f aca="false">'[3]Monthly Curve Calc.'!B149</f>
        <v>321.025185409035</v>
      </c>
      <c r="C146" s="1246" t="n">
        <f aca="false">'[3]Monthly Curve Calc.'!C149</f>
        <v>210.276036296182</v>
      </c>
      <c r="D146" s="1246" t="n">
        <f aca="false">'[3]Monthly Curve Calc.'!D149</f>
        <v>168.12139118793</v>
      </c>
      <c r="E146" s="1246" t="n">
        <f aca="false">'[3]Monthly Curve Calc.'!E149</f>
        <v>19.755</v>
      </c>
      <c r="F146" s="1247" t="n">
        <f aca="false">'[3]Monthly Curve Calc.'!F149</f>
        <v>2.43561361999639</v>
      </c>
      <c r="G146" s="1255" t="n">
        <f aca="false">IF(AND($A146&gt;G$16,MONTH($A146)=MONTH(G$16)),B145/B133,G145)</f>
        <v>1.075</v>
      </c>
      <c r="H146" s="1253" t="n">
        <f aca="false">IF(AND($A146&gt;H$16,MONTH($A146)=MONTH(H$16)),C145/C133,H145)</f>
        <v>1.02734467941714</v>
      </c>
      <c r="I146" s="1253" t="n">
        <f aca="false">IF(AND($A146&gt;I$16,MONTH($A146)=MONTH(I$16)),C145/C133-I$18,I145)</f>
        <v>1.02484467941714</v>
      </c>
      <c r="J146" s="1253" t="n">
        <f aca="false">IF(AND($A146&gt;J$16,MONTH($A146)=MONTH(J$16)),D145/D133,J145)</f>
        <v>1.02318740901084</v>
      </c>
      <c r="K146" s="1253" t="n">
        <f aca="false">IF($A146&gt;=K$16,IF(MONTH($A146)=MONTH(K$16),AVERAGE(E134:E145),K145),K145)</f>
        <v>19.5947048611111</v>
      </c>
      <c r="L146" s="1256" t="n">
        <f aca="false">IF($A146&gt;=L$16,IF(MONTH($A146)=MONTH(L$16),AVERAGE(F134:F145),L145),L145)</f>
        <v>2.36773585001062</v>
      </c>
      <c r="M146" s="1215" t="n">
        <f aca="false">M145+1</f>
        <v>134</v>
      </c>
      <c r="N146" s="1252" t="n">
        <f aca="false">HLOOKUP(N$14,Dec_Change,$M146)</f>
        <v>1.02734467941714</v>
      </c>
      <c r="O146" s="1253" t="n">
        <f aca="false">O145</f>
        <v>1.005</v>
      </c>
      <c r="P146" s="1256" t="n">
        <f aca="false">IF(AND($A146&gt;=P$16,MONTH($A146)=MONTH(P$16)),MAX(N146,O146)*P145,P145)</f>
        <v>1.30389657610682</v>
      </c>
    </row>
    <row r="147" customFormat="false" ht="12.75" hidden="false" customHeight="false" outlineLevel="0" collapsed="false">
      <c r="A147" s="1254" t="n">
        <f aca="false">EDATE(A146,1)</f>
        <v>39295</v>
      </c>
      <c r="B147" s="1245" t="n">
        <f aca="false">'[3]Monthly Curve Calc.'!B150</f>
        <v>322.965756659591</v>
      </c>
      <c r="C147" s="1246" t="n">
        <f aca="false">'[3]Monthly Curve Calc.'!C150</f>
        <v>210.742029000406</v>
      </c>
      <c r="D147" s="1246" t="n">
        <f aca="false">'[3]Monthly Curve Calc.'!D150</f>
        <v>168.422255278042</v>
      </c>
      <c r="E147" s="1246" t="n">
        <f aca="false">'[3]Monthly Curve Calc.'!E150</f>
        <v>19.78</v>
      </c>
      <c r="F147" s="1247" t="n">
        <f aca="false">'[3]Monthly Curve Calc.'!F150</f>
        <v>2.44106126984052</v>
      </c>
      <c r="G147" s="1255" t="n">
        <f aca="false">IF(AND($A147&gt;G$16,MONTH($A147)=MONTH(G$16)),B146/B134,G146)</f>
        <v>1.075</v>
      </c>
      <c r="H147" s="1253" t="n">
        <f aca="false">IF(AND($A147&gt;H$16,MONTH($A147)=MONTH(H$16)),C146/C134,H146)</f>
        <v>1.02734467941714</v>
      </c>
      <c r="I147" s="1253" t="n">
        <f aca="false">IF(AND($A147&gt;I$16,MONTH($A147)=MONTH(I$16)),C146/C134-I$18,I146)</f>
        <v>1.02484467941714</v>
      </c>
      <c r="J147" s="1253" t="n">
        <f aca="false">IF(AND($A147&gt;J$16,MONTH($A147)=MONTH(J$16)),D146/D134,J146)</f>
        <v>1.02318740901084</v>
      </c>
      <c r="K147" s="1253" t="n">
        <f aca="false">IF($A147&gt;=K$16,IF(MONTH($A147)=MONTH(K$16),AVERAGE(E135:E146),K146),K146)</f>
        <v>19.5947048611111</v>
      </c>
      <c r="L147" s="1256" t="n">
        <f aca="false">IF($A147&gt;=L$16,IF(MONTH($A147)=MONTH(L$16),AVERAGE(F135:F146),L146),L146)</f>
        <v>2.36773585001062</v>
      </c>
      <c r="M147" s="1215" t="n">
        <f aca="false">M146+1</f>
        <v>135</v>
      </c>
      <c r="N147" s="1252" t="n">
        <f aca="false">HLOOKUP(N$14,Dec_Change,$M147)</f>
        <v>1.02734467941714</v>
      </c>
      <c r="O147" s="1253" t="n">
        <f aca="false">O146</f>
        <v>1.005</v>
      </c>
      <c r="P147" s="1256" t="n">
        <f aca="false">IF(AND($A147&gt;=P$16,MONTH($A147)=MONTH(P$16)),MAX(N147,O147)*P146,P146)</f>
        <v>1.30389657610682</v>
      </c>
    </row>
    <row r="148" customFormat="false" ht="12.75" hidden="false" customHeight="false" outlineLevel="0" collapsed="false">
      <c r="A148" s="1254" t="n">
        <f aca="false">EDATE(A147,1)</f>
        <v>39326</v>
      </c>
      <c r="B148" s="1245" t="n">
        <f aca="false">'[3]Monthly Curve Calc.'!B151</f>
        <v>324.918058506217</v>
      </c>
      <c r="C148" s="1246" t="n">
        <f aca="false">'[3]Monthly Curve Calc.'!C151</f>
        <v>211.209054391019</v>
      </c>
      <c r="D148" s="1246" t="n">
        <f aca="false">'[3]Monthly Curve Calc.'!D151</f>
        <v>168.723657783878</v>
      </c>
      <c r="E148" s="1246" t="n">
        <f aca="false">'[3]Monthly Curve Calc.'!E151</f>
        <v>19.805</v>
      </c>
      <c r="F148" s="1247" t="n">
        <f aca="false">'[3]Monthly Curve Calc.'!F151</f>
        <v>2.44652110424816</v>
      </c>
      <c r="G148" s="1255" t="n">
        <f aca="false">IF(AND($A148&gt;G$16,MONTH($A148)=MONTH(G$16)),B147/B135,G147)</f>
        <v>1.075</v>
      </c>
      <c r="H148" s="1253" t="n">
        <f aca="false">IF(AND($A148&gt;H$16,MONTH($A148)=MONTH(H$16)),C147/C135,H147)</f>
        <v>1.02734467941714</v>
      </c>
      <c r="I148" s="1253" t="n">
        <f aca="false">IF(AND($A148&gt;I$16,MONTH($A148)=MONTH(I$16)),C147/C135-I$18,I147)</f>
        <v>1.02484467941714</v>
      </c>
      <c r="J148" s="1253" t="n">
        <f aca="false">IF(AND($A148&gt;J$16,MONTH($A148)=MONTH(J$16)),D147/D135,J147)</f>
        <v>1.02318740901084</v>
      </c>
      <c r="K148" s="1253" t="n">
        <f aca="false">IF($A148&gt;=K$16,IF(MONTH($A148)=MONTH(K$16),AVERAGE(E136:E147),K147),K147)</f>
        <v>19.5947048611111</v>
      </c>
      <c r="L148" s="1256" t="n">
        <f aca="false">IF($A148&gt;=L$16,IF(MONTH($A148)=MONTH(L$16),AVERAGE(F136:F147),L147),L147)</f>
        <v>2.36773585001062</v>
      </c>
      <c r="M148" s="1215" t="n">
        <f aca="false">M147+1</f>
        <v>136</v>
      </c>
      <c r="N148" s="1252" t="n">
        <f aca="false">HLOOKUP(N$14,Dec_Change,$M148)</f>
        <v>1.02734467941714</v>
      </c>
      <c r="O148" s="1253" t="n">
        <f aca="false">O147</f>
        <v>1.005</v>
      </c>
      <c r="P148" s="1256" t="n">
        <f aca="false">IF(AND($A148&gt;=P$16,MONTH($A148)=MONTH(P$16)),MAX(N148,O148)*P147,P147)</f>
        <v>1.30389657610682</v>
      </c>
    </row>
    <row r="149" customFormat="false" ht="12.75" hidden="false" customHeight="false" outlineLevel="0" collapsed="false">
      <c r="A149" s="1254" t="n">
        <f aca="false">EDATE(A148,1)</f>
        <v>39356</v>
      </c>
      <c r="B149" s="1245" t="n">
        <f aca="false">'[3]Monthly Curve Calc.'!B152</f>
        <v>326.882161859417</v>
      </c>
      <c r="C149" s="1246" t="n">
        <f aca="false">'[3]Monthly Curve Calc.'!C152</f>
        <v>211.677114756556</v>
      </c>
      <c r="D149" s="1246" t="n">
        <f aca="false">'[3]Monthly Curve Calc.'!D152</f>
        <v>169.02559966897</v>
      </c>
      <c r="E149" s="1246" t="n">
        <f aca="false">'[3]Monthly Curve Calc.'!E152</f>
        <v>19.83</v>
      </c>
      <c r="F149" s="1247" t="n">
        <f aca="false">'[3]Monthly Curve Calc.'!F152</f>
        <v>2.45199315047208</v>
      </c>
      <c r="G149" s="1255" t="n">
        <f aca="false">IF(AND($A149&gt;G$16,MONTH($A149)=MONTH(G$16)),B148/B136,G148)</f>
        <v>1.075</v>
      </c>
      <c r="H149" s="1253" t="n">
        <f aca="false">IF(AND($A149&gt;H$16,MONTH($A149)=MONTH(H$16)),C148/C136,H148)</f>
        <v>1.02734467941714</v>
      </c>
      <c r="I149" s="1253" t="n">
        <f aca="false">IF(AND($A149&gt;I$16,MONTH($A149)=MONTH(I$16)),C148/C136-I$18,I148)</f>
        <v>1.02484467941714</v>
      </c>
      <c r="J149" s="1253" t="n">
        <f aca="false">IF(AND($A149&gt;J$16,MONTH($A149)=MONTH(J$16)),D148/D136,J148)</f>
        <v>1.02318740901084</v>
      </c>
      <c r="K149" s="1253" t="n">
        <f aca="false">IF($A149&gt;=K$16,IF(MONTH($A149)=MONTH(K$16),AVERAGE(E137:E148),K148),K148)</f>
        <v>19.5947048611111</v>
      </c>
      <c r="L149" s="1256" t="n">
        <f aca="false">IF($A149&gt;=L$16,IF(MONTH($A149)=MONTH(L$16),AVERAGE(F137:F148),L148),L148)</f>
        <v>2.36773585001062</v>
      </c>
      <c r="M149" s="1215" t="n">
        <f aca="false">M148+1</f>
        <v>137</v>
      </c>
      <c r="N149" s="1252" t="n">
        <f aca="false">HLOOKUP(N$14,Dec_Change,$M149)</f>
        <v>1.02734467941714</v>
      </c>
      <c r="O149" s="1253" t="n">
        <f aca="false">O148</f>
        <v>1.005</v>
      </c>
      <c r="P149" s="1256" t="n">
        <f aca="false">IF(AND($A149&gt;=P$16,MONTH($A149)=MONTH(P$16)),MAX(N149,O149)*P148,P148)</f>
        <v>1.30389657610682</v>
      </c>
    </row>
    <row r="150" customFormat="false" ht="12.75" hidden="false" customHeight="false" outlineLevel="0" collapsed="false">
      <c r="A150" s="1254" t="n">
        <f aca="false">EDATE(A149,1)</f>
        <v>39387</v>
      </c>
      <c r="B150" s="1245" t="n">
        <f aca="false">'[3]Monthly Curve Calc.'!B153</f>
        <v>328.858138058343</v>
      </c>
      <c r="C150" s="1246" t="n">
        <f aca="false">'[3]Monthly Curve Calc.'!C153</f>
        <v>212.146212390625</v>
      </c>
      <c r="D150" s="1246" t="n">
        <f aca="false">'[3]Monthly Curve Calc.'!D153</f>
        <v>169.32808189857</v>
      </c>
      <c r="E150" s="1246" t="n">
        <f aca="false">'[3]Monthly Curve Calc.'!E153</f>
        <v>19.855</v>
      </c>
      <c r="F150" s="1247" t="n">
        <f aca="false">'[3]Monthly Curve Calc.'!F153</f>
        <v>2.45747743582601</v>
      </c>
      <c r="G150" s="1255" t="n">
        <f aca="false">IF(AND($A150&gt;G$16,MONTH($A150)=MONTH(G$16)),B149/B137,G149)</f>
        <v>1.075</v>
      </c>
      <c r="H150" s="1253" t="n">
        <f aca="false">IF(AND($A150&gt;H$16,MONTH($A150)=MONTH(H$16)),C149/C137,H149)</f>
        <v>1.02734467941714</v>
      </c>
      <c r="I150" s="1253" t="n">
        <f aca="false">IF(AND($A150&gt;I$16,MONTH($A150)=MONTH(I$16)),C149/C137-I$18,I149)</f>
        <v>1.02484467941714</v>
      </c>
      <c r="J150" s="1253" t="n">
        <f aca="false">IF(AND($A150&gt;J$16,MONTH($A150)=MONTH(J$16)),D149/D137,J149)</f>
        <v>1.02318740901084</v>
      </c>
      <c r="K150" s="1253" t="n">
        <f aca="false">IF($A150&gt;=K$16,IF(MONTH($A150)=MONTH(K$16),AVERAGE(E138:E149),K149),K149)</f>
        <v>19.5947048611111</v>
      </c>
      <c r="L150" s="1256" t="n">
        <f aca="false">IF($A150&gt;=L$16,IF(MONTH($A150)=MONTH(L$16),AVERAGE(F138:F149),L149),L149)</f>
        <v>2.36773585001062</v>
      </c>
      <c r="M150" s="1215" t="n">
        <f aca="false">M149+1</f>
        <v>138</v>
      </c>
      <c r="N150" s="1252" t="n">
        <f aca="false">HLOOKUP(N$14,Dec_Change,$M150)</f>
        <v>1.02734467941714</v>
      </c>
      <c r="O150" s="1253" t="n">
        <f aca="false">O149</f>
        <v>1.005</v>
      </c>
      <c r="P150" s="1256" t="n">
        <f aca="false">IF(AND($A150&gt;=P$16,MONTH($A150)=MONTH(P$16)),MAX(N150,O150)*P149,P149)</f>
        <v>1.30389657610682</v>
      </c>
    </row>
    <row r="151" customFormat="false" ht="12.75" hidden="false" customHeight="false" outlineLevel="0" collapsed="false">
      <c r="A151" s="1254" t="n">
        <f aca="false">EDATE(A150,1)</f>
        <v>39417</v>
      </c>
      <c r="B151" s="1245" t="n">
        <f aca="false">'[3]Monthly Curve Calc.'!B154</f>
        <v>330.846058873385</v>
      </c>
      <c r="C151" s="1246" t="n">
        <f aca="false">'[3]Monthly Curve Calc.'!C154</f>
        <v>212.616349591916</v>
      </c>
      <c r="D151" s="1246" t="n">
        <f aca="false">'[3]Monthly Curve Calc.'!D154</f>
        <v>169.63110543966</v>
      </c>
      <c r="E151" s="1246" t="n">
        <f aca="false">'[3]Monthly Curve Calc.'!E154</f>
        <v>19.88</v>
      </c>
      <c r="F151" s="1247" t="n">
        <f aca="false">'[3]Monthly Curve Calc.'!F154</f>
        <v>2.46297398768479</v>
      </c>
      <c r="G151" s="1255" t="n">
        <f aca="false">IF(AND($A151&gt;G$16,MONTH($A151)=MONTH(G$16)),B150/B138,G150)</f>
        <v>1.075</v>
      </c>
      <c r="H151" s="1253" t="n">
        <f aca="false">IF(AND($A151&gt;H$16,MONTH($A151)=MONTH(H$16)),C150/C138,H150)</f>
        <v>1.02734467941714</v>
      </c>
      <c r="I151" s="1253" t="n">
        <f aca="false">IF(AND($A151&gt;I$16,MONTH($A151)=MONTH(I$16)),C150/C138-I$18,I150)</f>
        <v>1.02484467941714</v>
      </c>
      <c r="J151" s="1253" t="n">
        <f aca="false">IF(AND($A151&gt;J$16,MONTH($A151)=MONTH(J$16)),D150/D138,J150)</f>
        <v>1.02318740901084</v>
      </c>
      <c r="K151" s="1253" t="n">
        <f aca="false">IF($A151&gt;=K$16,IF(MONTH($A151)=MONTH(K$16),AVERAGE(E139:E150),K150),K150)</f>
        <v>19.5947048611111</v>
      </c>
      <c r="L151" s="1256" t="n">
        <f aca="false">IF($A151&gt;=L$16,IF(MONTH($A151)=MONTH(L$16),AVERAGE(F139:F150),L150),L150)</f>
        <v>2.36773585001062</v>
      </c>
      <c r="M151" s="1215" t="n">
        <f aca="false">M150+1</f>
        <v>139</v>
      </c>
      <c r="N151" s="1252" t="n">
        <f aca="false">HLOOKUP(N$14,Dec_Change,$M151)</f>
        <v>1.02734467941714</v>
      </c>
      <c r="O151" s="1253" t="n">
        <f aca="false">O150</f>
        <v>1.005</v>
      </c>
      <c r="P151" s="1256" t="n">
        <f aca="false">IF(AND($A151&gt;=P$16,MONTH($A151)=MONTH(P$16)),MAX(N151,O151)*P150,P150)</f>
        <v>1.30389657610682</v>
      </c>
    </row>
    <row r="152" customFormat="false" ht="12.75" hidden="false" customHeight="false" outlineLevel="0" collapsed="false">
      <c r="A152" s="1254" t="n">
        <f aca="false">EDATE(A151,1)</f>
        <v>39448</v>
      </c>
      <c r="B152" s="1245" t="n">
        <f aca="false">'[3]Monthly Curve Calc.'!B155</f>
        <v>332.84599650878</v>
      </c>
      <c r="C152" s="1246" t="n">
        <f aca="false">'[3]Monthly Curve Calc.'!C155</f>
        <v>213.078880911827</v>
      </c>
      <c r="D152" s="1246" t="n">
        <f aca="false">'[3]Monthly Curve Calc.'!D155</f>
        <v>169.917625547035</v>
      </c>
      <c r="E152" s="1246" t="n">
        <f aca="false">'[3]Monthly Curve Calc.'!E155</f>
        <v>19.9320833333333</v>
      </c>
      <c r="F152" s="1247" t="n">
        <f aca="false">'[3]Monthly Curve Calc.'!F155</f>
        <v>2.4681826378384</v>
      </c>
      <c r="G152" s="1255" t="n">
        <f aca="false">IF(AND($A152&gt;G$16,MONTH($A152)=MONTH(G$16)),B151/B139,G151)</f>
        <v>1.075</v>
      </c>
      <c r="H152" s="1253" t="n">
        <f aca="false">IF(AND($A152&gt;H$16,MONTH($A152)=MONTH(H$16)),C151/C139,H151)</f>
        <v>1.02734467941714</v>
      </c>
      <c r="I152" s="1253" t="n">
        <f aca="false">IF(AND($A152&gt;I$16,MONTH($A152)=MONTH(I$16)),C151/C139-I$18,I151)</f>
        <v>1.02484467941714</v>
      </c>
      <c r="J152" s="1253" t="n">
        <f aca="false">IF(AND($A152&gt;J$16,MONTH($A152)=MONTH(J$16)),D151/D139,J151)</f>
        <v>1.02168740887725</v>
      </c>
      <c r="K152" s="1253" t="n">
        <f aca="false">IF($A152&gt;=K$16,IF(MONTH($A152)=MONTH(K$16),AVERAGE(E140:E151),K151),K151)</f>
        <v>19.7425</v>
      </c>
      <c r="L152" s="1256" t="n">
        <f aca="false">IF($A152&gt;=L$16,IF(MONTH($A152)=MONTH(L$16),AVERAGE(F140:F151),L151),L151)</f>
        <v>2.43296671319364</v>
      </c>
      <c r="M152" s="1215" t="n">
        <f aca="false">M151+1</f>
        <v>140</v>
      </c>
      <c r="N152" s="1252" t="n">
        <f aca="false">HLOOKUP(N$14,Dec_Change,$M152)</f>
        <v>1.02734467941714</v>
      </c>
      <c r="O152" s="1253" t="n">
        <f aca="false">O151</f>
        <v>1.005</v>
      </c>
      <c r="P152" s="1256" t="n">
        <f aca="false">IF(AND($A152&gt;=P$16,MONTH($A152)=MONTH(P$16)),MAX(N152,O152)*P151,P151)</f>
        <v>1.30389657610682</v>
      </c>
    </row>
    <row r="153" customFormat="false" ht="12.75" hidden="false" customHeight="false" outlineLevel="0" collapsed="false">
      <c r="A153" s="1254" t="n">
        <f aca="false">EDATE(A152,1)</f>
        <v>39479</v>
      </c>
      <c r="B153" s="1245" t="n">
        <f aca="false">'[3]Monthly Curve Calc.'!B156</f>
        <v>334.858023605236</v>
      </c>
      <c r="C153" s="1246" t="n">
        <f aca="false">'[3]Monthly Curve Calc.'!C156</f>
        <v>213.542418434801</v>
      </c>
      <c r="D153" s="1246" t="n">
        <f aca="false">'[3]Monthly Curve Calc.'!D156</f>
        <v>170.204629609117</v>
      </c>
      <c r="E153" s="1246" t="n">
        <f aca="false">'[3]Monthly Curve Calc.'!E156</f>
        <v>19.9841666666667</v>
      </c>
      <c r="F153" s="1247" t="n">
        <f aca="false">'[3]Monthly Curve Calc.'!F156</f>
        <v>2.47340230314547</v>
      </c>
      <c r="G153" s="1255" t="n">
        <f aca="false">IF(AND($A153&gt;G$16,MONTH($A153)=MONTH(G$16)),B152/B140,G152)</f>
        <v>1.075</v>
      </c>
      <c r="H153" s="1253" t="n">
        <f aca="false">IF(AND($A153&gt;H$16,MONTH($A153)=MONTH(H$16)),C152/C140,H152)</f>
        <v>1.02734467941714</v>
      </c>
      <c r="I153" s="1253" t="n">
        <f aca="false">IF(AND($A153&gt;I$16,MONTH($A153)=MONTH(I$16)),C152/C140-I$18,I152)</f>
        <v>1.02484467941714</v>
      </c>
      <c r="J153" s="1253" t="n">
        <f aca="false">IF(AND($A153&gt;J$16,MONTH($A153)=MONTH(J$16)),D152/D140,J152)</f>
        <v>1.02168740887725</v>
      </c>
      <c r="K153" s="1253" t="n">
        <f aca="false">IF($A153&gt;=K$16,IF(MONTH($A153)=MONTH(K$16),AVERAGE(E141:E152),K152),K152)</f>
        <v>19.7425</v>
      </c>
      <c r="L153" s="1256" t="n">
        <f aca="false">IF($A153&gt;=L$16,IF(MONTH($A153)=MONTH(L$16),AVERAGE(F141:F152),L152),L152)</f>
        <v>2.43296671319364</v>
      </c>
      <c r="M153" s="1215" t="n">
        <f aca="false">M152+1</f>
        <v>141</v>
      </c>
      <c r="N153" s="1252" t="n">
        <f aca="false">HLOOKUP(N$14,Dec_Change,$M153)</f>
        <v>1.02734467941714</v>
      </c>
      <c r="O153" s="1253" t="n">
        <f aca="false">O152</f>
        <v>1.005</v>
      </c>
      <c r="P153" s="1256" t="n">
        <f aca="false">IF(AND($A153&gt;=P$16,MONTH($A153)=MONTH(P$16)),MAX(N153,O153)*P152,P152)</f>
        <v>1.30389657610682</v>
      </c>
    </row>
    <row r="154" customFormat="false" ht="12.75" hidden="false" customHeight="false" outlineLevel="0" collapsed="false">
      <c r="A154" s="1254" t="n">
        <f aca="false">EDATE(A153,1)</f>
        <v>39508</v>
      </c>
      <c r="B154" s="1245" t="n">
        <f aca="false">'[3]Monthly Curve Calc.'!B157</f>
        <v>336.882213242564</v>
      </c>
      <c r="C154" s="1246" t="n">
        <f aca="false">'[3]Monthly Curve Calc.'!C157</f>
        <v>214.006964349756</v>
      </c>
      <c r="D154" s="1246" t="n">
        <f aca="false">'[3]Monthly Curve Calc.'!D157</f>
        <v>170.492118443343</v>
      </c>
      <c r="E154" s="1246" t="n">
        <f aca="false">'[3]Monthly Curve Calc.'!E157</f>
        <v>20.03625</v>
      </c>
      <c r="F154" s="1247" t="n">
        <f aca="false">'[3]Monthly Curve Calc.'!F157</f>
        <v>2.47863300690063</v>
      </c>
      <c r="G154" s="1255" t="n">
        <f aca="false">IF(AND($A154&gt;G$16,MONTH($A154)=MONTH(G$16)),B153/B141,G153)</f>
        <v>1.075</v>
      </c>
      <c r="H154" s="1253" t="n">
        <f aca="false">IF(AND($A154&gt;H$16,MONTH($A154)=MONTH(H$16)),C153/C141,H153)</f>
        <v>1.02734467941714</v>
      </c>
      <c r="I154" s="1253" t="n">
        <f aca="false">IF(AND($A154&gt;I$16,MONTH($A154)=MONTH(I$16)),C153/C141-I$18,I153)</f>
        <v>1.02484467941714</v>
      </c>
      <c r="J154" s="1253" t="n">
        <f aca="false">IF(AND($A154&gt;J$16,MONTH($A154)=MONTH(J$16)),D153/D141,J153)</f>
        <v>1.02168740887725</v>
      </c>
      <c r="K154" s="1253" t="n">
        <f aca="false">IF($A154&gt;=K$16,IF(MONTH($A154)=MONTH(K$16),AVERAGE(E142:E153),K153),K153)</f>
        <v>19.7425</v>
      </c>
      <c r="L154" s="1256" t="n">
        <f aca="false">IF($A154&gt;=L$16,IF(MONTH($A154)=MONTH(L$16),AVERAGE(F142:F153),L153),L153)</f>
        <v>2.43296671319364</v>
      </c>
      <c r="M154" s="1215" t="n">
        <f aca="false">M153+1</f>
        <v>142</v>
      </c>
      <c r="N154" s="1252" t="n">
        <f aca="false">HLOOKUP(N$14,Dec_Change,$M154)</f>
        <v>1.02734467941714</v>
      </c>
      <c r="O154" s="1253" t="n">
        <f aca="false">O153</f>
        <v>1.005</v>
      </c>
      <c r="P154" s="1256" t="n">
        <f aca="false">IF(AND($A154&gt;=P$16,MONTH($A154)=MONTH(P$16)),MAX(N154,O154)*P153,P153)</f>
        <v>1.30389657610682</v>
      </c>
    </row>
    <row r="155" customFormat="false" ht="12.75" hidden="false" customHeight="false" outlineLevel="0" collapsed="false">
      <c r="A155" s="1254" t="n">
        <f aca="false">EDATE(A154,1)</f>
        <v>39539</v>
      </c>
      <c r="B155" s="1245" t="n">
        <f aca="false">'[3]Monthly Curve Calc.'!B158</f>
        <v>338.918638942339</v>
      </c>
      <c r="C155" s="1246" t="n">
        <f aca="false">'[3]Monthly Curve Calc.'!C158</f>
        <v>214.472520850378</v>
      </c>
      <c r="D155" s="1246" t="n">
        <f aca="false">'[3]Monthly Curve Calc.'!D158</f>
        <v>170.780092868531</v>
      </c>
      <c r="E155" s="1246" t="n">
        <f aca="false">'[3]Monthly Curve Calc.'!E158</f>
        <v>20.0883333333333</v>
      </c>
      <c r="F155" s="1247" t="n">
        <f aca="false">'[3]Monthly Curve Calc.'!F158</f>
        <v>2.48387477244777</v>
      </c>
      <c r="G155" s="1255" t="n">
        <f aca="false">IF(AND($A155&gt;G$16,MONTH($A155)=MONTH(G$16)),B154/B142,G154)</f>
        <v>1.075</v>
      </c>
      <c r="H155" s="1253" t="n">
        <f aca="false">IF(AND($A155&gt;H$16,MONTH($A155)=MONTH(H$16)),C154/C142,H154)</f>
        <v>1.02734467941714</v>
      </c>
      <c r="I155" s="1253" t="n">
        <f aca="false">IF(AND($A155&gt;I$16,MONTH($A155)=MONTH(I$16)),C154/C142-I$18,I154)</f>
        <v>1.02484467941714</v>
      </c>
      <c r="J155" s="1253" t="n">
        <f aca="false">IF(AND($A155&gt;J$16,MONTH($A155)=MONTH(J$16)),D154/D142,J154)</f>
        <v>1.02168740887725</v>
      </c>
      <c r="K155" s="1253" t="n">
        <f aca="false">IF($A155&gt;=K$16,IF(MONTH($A155)=MONTH(K$16),AVERAGE(E143:E154),K154),K154)</f>
        <v>19.7425</v>
      </c>
      <c r="L155" s="1256" t="n">
        <f aca="false">IF($A155&gt;=L$16,IF(MONTH($A155)=MONTH(L$16),AVERAGE(F143:F154),L154),L154)</f>
        <v>2.43296671319364</v>
      </c>
      <c r="M155" s="1215" t="n">
        <f aca="false">M154+1</f>
        <v>143</v>
      </c>
      <c r="N155" s="1252" t="n">
        <f aca="false">HLOOKUP(N$14,Dec_Change,$M155)</f>
        <v>1.02734467941714</v>
      </c>
      <c r="O155" s="1253" t="n">
        <f aca="false">O154</f>
        <v>1.005</v>
      </c>
      <c r="P155" s="1256" t="n">
        <f aca="false">IF(AND($A155&gt;=P$16,MONTH($A155)=MONTH(P$16)),MAX(N155,O155)*P154,P154)</f>
        <v>1.30389657610682</v>
      </c>
    </row>
    <row r="156" customFormat="false" ht="12.75" hidden="false" customHeight="false" outlineLevel="0" collapsed="false">
      <c r="A156" s="1254" t="n">
        <f aca="false">EDATE(A155,1)</f>
        <v>39569</v>
      </c>
      <c r="B156" s="1245" t="n">
        <f aca="false">'[3]Monthly Curve Calc.'!B159</f>
        <v>340.967374670569</v>
      </c>
      <c r="C156" s="1246" t="n">
        <f aca="false">'[3]Monthly Curve Calc.'!C159</f>
        <v>214.93909013512</v>
      </c>
      <c r="D156" s="1246" t="n">
        <f aca="false">'[3]Monthly Curve Calc.'!D159</f>
        <v>171.068553704882</v>
      </c>
      <c r="E156" s="1246" t="n">
        <f aca="false">'[3]Monthly Curve Calc.'!E159</f>
        <v>20.1404166666667</v>
      </c>
      <c r="F156" s="1247" t="n">
        <f aca="false">'[3]Monthly Curve Calc.'!F159</f>
        <v>2.48912762318016</v>
      </c>
      <c r="G156" s="1255" t="n">
        <f aca="false">IF(AND($A156&gt;G$16,MONTH($A156)=MONTH(G$16)),B155/B143,G155)</f>
        <v>1.075</v>
      </c>
      <c r="H156" s="1253" t="n">
        <f aca="false">IF(AND($A156&gt;H$16,MONTH($A156)=MONTH(H$16)),C155/C143,H155)</f>
        <v>1.02675304554174</v>
      </c>
      <c r="I156" s="1253" t="n">
        <f aca="false">IF(AND($A156&gt;I$16,MONTH($A156)=MONTH(I$16)),C155/C143-I$18,I155)</f>
        <v>1.02425304554174</v>
      </c>
      <c r="J156" s="1253" t="n">
        <f aca="false">IF(AND($A156&gt;J$16,MONTH($A156)=MONTH(J$16)),D155/D143,J155)</f>
        <v>1.02168740887725</v>
      </c>
      <c r="K156" s="1253" t="n">
        <f aca="false">IF($A156&gt;=K$16,IF(MONTH($A156)=MONTH(K$16),AVERAGE(E144:E155),K155),K155)</f>
        <v>19.7425</v>
      </c>
      <c r="L156" s="1256" t="n">
        <f aca="false">IF($A156&gt;=L$16,IF(MONTH($A156)=MONTH(L$16),AVERAGE(F144:F155),L155),L155)</f>
        <v>2.43296671319364</v>
      </c>
      <c r="M156" s="1215" t="n">
        <f aca="false">M155+1</f>
        <v>144</v>
      </c>
      <c r="N156" s="1252" t="n">
        <f aca="false">HLOOKUP(N$14,Dec_Change,$M156)</f>
        <v>1.02675304554174</v>
      </c>
      <c r="O156" s="1253" t="n">
        <f aca="false">O155</f>
        <v>1.005</v>
      </c>
      <c r="P156" s="1256" t="n">
        <f aca="false">IF(AND($A156&gt;=P$16,MONTH($A156)=MONTH(P$16)),MAX(N156,O156)*P155,P155)</f>
        <v>1.33877978058913</v>
      </c>
    </row>
    <row r="157" customFormat="false" ht="12.75" hidden="false" customHeight="false" outlineLevel="0" collapsed="false">
      <c r="A157" s="1254" t="n">
        <f aca="false">EDATE(A156,1)</f>
        <v>39600</v>
      </c>
      <c r="B157" s="1245" t="n">
        <f aca="false">'[3]Monthly Curve Calc.'!B160</f>
        <v>343.028494840378</v>
      </c>
      <c r="C157" s="1246" t="n">
        <f aca="false">'[3]Monthly Curve Calc.'!C160</f>
        <v>215.406674407222</v>
      </c>
      <c r="D157" s="1246" t="n">
        <f aca="false">'[3]Monthly Curve Calc.'!D160</f>
        <v>171.357501773981</v>
      </c>
      <c r="E157" s="1246" t="n">
        <f aca="false">'[3]Monthly Curve Calc.'!E160</f>
        <v>20.1925</v>
      </c>
      <c r="F157" s="1247" t="n">
        <f aca="false">'[3]Monthly Curve Calc.'!F160</f>
        <v>2.49439158254055</v>
      </c>
      <c r="G157" s="1255" t="n">
        <f aca="false">IF(AND($A157&gt;G$16,MONTH($A157)=MONTH(G$16)),B156/B144,G156)</f>
        <v>1.075</v>
      </c>
      <c r="H157" s="1253" t="n">
        <f aca="false">IF(AND($A157&gt;H$16,MONTH($A157)=MONTH(H$16)),C156/C144,H156)</f>
        <v>1.02675304554174</v>
      </c>
      <c r="I157" s="1253" t="n">
        <f aca="false">IF(AND($A157&gt;I$16,MONTH($A157)=MONTH(I$16)),C156/C144-I$18,I156)</f>
        <v>1.02425304554174</v>
      </c>
      <c r="J157" s="1253" t="n">
        <f aca="false">IF(AND($A157&gt;J$16,MONTH($A157)=MONTH(J$16)),D156/D144,J156)</f>
        <v>1.02168740887725</v>
      </c>
      <c r="K157" s="1253" t="n">
        <f aca="false">IF($A157&gt;=K$16,IF(MONTH($A157)=MONTH(K$16),AVERAGE(E145:E156),K156),K156)</f>
        <v>19.7425</v>
      </c>
      <c r="L157" s="1256" t="n">
        <f aca="false">IF($A157&gt;=L$16,IF(MONTH($A157)=MONTH(L$16),AVERAGE(F145:F156),L156),L156)</f>
        <v>2.43296671319364</v>
      </c>
      <c r="M157" s="1215" t="n">
        <f aca="false">M156+1</f>
        <v>145</v>
      </c>
      <c r="N157" s="1252" t="n">
        <f aca="false">HLOOKUP(N$14,Dec_Change,$M157)</f>
        <v>1.02675304554174</v>
      </c>
      <c r="O157" s="1253" t="n">
        <f aca="false">O156</f>
        <v>1.005</v>
      </c>
      <c r="P157" s="1256" t="n">
        <f aca="false">IF(AND($A157&gt;=P$16,MONTH($A157)=MONTH(P$16)),MAX(N157,O157)*P156,P156)</f>
        <v>1.33877978058913</v>
      </c>
    </row>
    <row r="158" customFormat="false" ht="12.75" hidden="false" customHeight="false" outlineLevel="0" collapsed="false">
      <c r="A158" s="1254" t="n">
        <f aca="false">EDATE(A157,1)</f>
        <v>39630</v>
      </c>
      <c r="B158" s="1245" t="n">
        <f aca="false">'[3]Monthly Curve Calc.'!B161</f>
        <v>345.102074314712</v>
      </c>
      <c r="C158" s="1246" t="n">
        <f aca="false">'[3]Monthly Curve Calc.'!C161</f>
        <v>215.875275874712</v>
      </c>
      <c r="D158" s="1246" t="n">
        <f aca="false">'[3]Monthly Curve Calc.'!D161</f>
        <v>171.646937898804</v>
      </c>
      <c r="E158" s="1246" t="n">
        <f aca="false">'[3]Monthly Curve Calc.'!E161</f>
        <v>20.2445833333333</v>
      </c>
      <c r="F158" s="1247" t="n">
        <f aca="false">'[3]Monthly Curve Calc.'!F161</f>
        <v>2.49966667402123</v>
      </c>
      <c r="G158" s="1255" t="n">
        <f aca="false">IF(AND($A158&gt;G$16,MONTH($A158)=MONTH(G$16)),B157/B145,G157)</f>
        <v>1.075</v>
      </c>
      <c r="H158" s="1253" t="n">
        <f aca="false">IF(AND($A158&gt;H$16,MONTH($A158)=MONTH(H$16)),C157/C145,H157)</f>
        <v>1.02675304554174</v>
      </c>
      <c r="I158" s="1253" t="n">
        <f aca="false">IF(AND($A158&gt;I$16,MONTH($A158)=MONTH(I$16)),C157/C145-I$18,I157)</f>
        <v>1.02425304554174</v>
      </c>
      <c r="J158" s="1253" t="n">
        <f aca="false">IF(AND($A158&gt;J$16,MONTH($A158)=MONTH(J$16)),D157/D145,J157)</f>
        <v>1.02168740887725</v>
      </c>
      <c r="K158" s="1253" t="n">
        <f aca="false">IF($A158&gt;=K$16,IF(MONTH($A158)=MONTH(K$16),AVERAGE(E146:E157),K157),K157)</f>
        <v>19.7425</v>
      </c>
      <c r="L158" s="1256" t="n">
        <f aca="false">IF($A158&gt;=L$16,IF(MONTH($A158)=MONTH(L$16),AVERAGE(F146:F157),L157),L157)</f>
        <v>2.43296671319364</v>
      </c>
      <c r="M158" s="1215" t="n">
        <f aca="false">M157+1</f>
        <v>146</v>
      </c>
      <c r="N158" s="1252" t="n">
        <f aca="false">HLOOKUP(N$14,Dec_Change,$M158)</f>
        <v>1.02675304554174</v>
      </c>
      <c r="O158" s="1253" t="n">
        <f aca="false">O157</f>
        <v>1.005</v>
      </c>
      <c r="P158" s="1256" t="n">
        <f aca="false">IF(AND($A158&gt;=P$16,MONTH($A158)=MONTH(P$16)),MAX(N158,O158)*P157,P157)</f>
        <v>1.33877978058913</v>
      </c>
    </row>
    <row r="159" customFormat="false" ht="12.75" hidden="false" customHeight="false" outlineLevel="0" collapsed="false">
      <c r="A159" s="1254" t="n">
        <f aca="false">EDATE(A158,1)</f>
        <v>39661</v>
      </c>
      <c r="B159" s="1245" t="n">
        <f aca="false">'[3]Monthly Curve Calc.'!B162</f>
        <v>347.18818840906</v>
      </c>
      <c r="C159" s="1246" t="n">
        <f aca="false">'[3]Monthly Curve Calc.'!C162</f>
        <v>216.344896750427</v>
      </c>
      <c r="D159" s="1246" t="n">
        <f aca="false">'[3]Monthly Curve Calc.'!D162</f>
        <v>171.936862903713</v>
      </c>
      <c r="E159" s="1246" t="n">
        <f aca="false">'[3]Monthly Curve Calc.'!E162</f>
        <v>20.2966666666667</v>
      </c>
      <c r="F159" s="1247" t="n">
        <f aca="false">'[3]Monthly Curve Calc.'!F162</f>
        <v>2.50495292116421</v>
      </c>
      <c r="G159" s="1255" t="n">
        <f aca="false">IF(AND($A159&gt;G$16,MONTH($A159)=MONTH(G$16)),B158/B146,G158)</f>
        <v>1.075</v>
      </c>
      <c r="H159" s="1253" t="n">
        <f aca="false">IF(AND($A159&gt;H$16,MONTH($A159)=MONTH(H$16)),C158/C146,H158)</f>
        <v>1.02675304554174</v>
      </c>
      <c r="I159" s="1253" t="n">
        <f aca="false">IF(AND($A159&gt;I$16,MONTH($A159)=MONTH(I$16)),C158/C146-I$18,I158)</f>
        <v>1.02425304554174</v>
      </c>
      <c r="J159" s="1253" t="n">
        <f aca="false">IF(AND($A159&gt;J$16,MONTH($A159)=MONTH(J$16)),D158/D146,J158)</f>
        <v>1.02168740887725</v>
      </c>
      <c r="K159" s="1253" t="n">
        <f aca="false">IF($A159&gt;=K$16,IF(MONTH($A159)=MONTH(K$16),AVERAGE(E147:E158),K158),K158)</f>
        <v>19.7425</v>
      </c>
      <c r="L159" s="1256" t="n">
        <f aca="false">IF($A159&gt;=L$16,IF(MONTH($A159)=MONTH(L$16),AVERAGE(F147:F158),L158),L158)</f>
        <v>2.43296671319364</v>
      </c>
      <c r="M159" s="1215" t="n">
        <f aca="false">M158+1</f>
        <v>147</v>
      </c>
      <c r="N159" s="1252" t="n">
        <f aca="false">HLOOKUP(N$14,Dec_Change,$M159)</f>
        <v>1.02675304554174</v>
      </c>
      <c r="O159" s="1253" t="n">
        <f aca="false">O158</f>
        <v>1.005</v>
      </c>
      <c r="P159" s="1256" t="n">
        <f aca="false">IF(AND($A159&gt;=P$16,MONTH($A159)=MONTH(P$16)),MAX(N159,O159)*P158,P158)</f>
        <v>1.33877978058913</v>
      </c>
    </row>
    <row r="160" customFormat="false" ht="12.75" hidden="false" customHeight="false" outlineLevel="0" collapsed="false">
      <c r="A160" s="1254" t="n">
        <f aca="false">EDATE(A159,1)</f>
        <v>39692</v>
      </c>
      <c r="B160" s="1245" t="n">
        <f aca="false">'[3]Monthly Curve Calc.'!B163</f>
        <v>349.286912894183</v>
      </c>
      <c r="C160" s="1246" t="n">
        <f aca="false">'[3]Monthly Curve Calc.'!C163</f>
        <v>216.815539252013</v>
      </c>
      <c r="D160" s="1246" t="n">
        <f aca="false">'[3]Monthly Curve Calc.'!D163</f>
        <v>172.227277614466</v>
      </c>
      <c r="E160" s="1246" t="n">
        <f aca="false">'[3]Monthly Curve Calc.'!E163</f>
        <v>20.34875</v>
      </c>
      <c r="F160" s="1247" t="n">
        <f aca="false">'[3]Monthly Curve Calc.'!F163</f>
        <v>2.51025034756126</v>
      </c>
      <c r="G160" s="1255" t="n">
        <f aca="false">IF(AND($A160&gt;G$16,MONTH($A160)=MONTH(G$16)),B159/B147,G159)</f>
        <v>1.075</v>
      </c>
      <c r="H160" s="1253" t="n">
        <f aca="false">IF(AND($A160&gt;H$16,MONTH($A160)=MONTH(H$16)),C159/C147,H159)</f>
        <v>1.02675304554174</v>
      </c>
      <c r="I160" s="1253" t="n">
        <f aca="false">IF(AND($A160&gt;I$16,MONTH($A160)=MONTH(I$16)),C159/C147-I$18,I159)</f>
        <v>1.02425304554174</v>
      </c>
      <c r="J160" s="1253" t="n">
        <f aca="false">IF(AND($A160&gt;J$16,MONTH($A160)=MONTH(J$16)),D159/D147,J159)</f>
        <v>1.02168740887725</v>
      </c>
      <c r="K160" s="1253" t="n">
        <f aca="false">IF($A160&gt;=K$16,IF(MONTH($A160)=MONTH(K$16),AVERAGE(E148:E159),K159),K159)</f>
        <v>19.7425</v>
      </c>
      <c r="L160" s="1256" t="n">
        <f aca="false">IF($A160&gt;=L$16,IF(MONTH($A160)=MONTH(L$16),AVERAGE(F148:F159),L159),L159)</f>
        <v>2.43296671319364</v>
      </c>
      <c r="M160" s="1215" t="n">
        <f aca="false">M159+1</f>
        <v>148</v>
      </c>
      <c r="N160" s="1252" t="n">
        <f aca="false">HLOOKUP(N$14,Dec_Change,$M160)</f>
        <v>1.02675304554174</v>
      </c>
      <c r="O160" s="1253" t="n">
        <f aca="false">O159</f>
        <v>1.005</v>
      </c>
      <c r="P160" s="1256" t="n">
        <f aca="false">IF(AND($A160&gt;=P$16,MONTH($A160)=MONTH(P$16)),MAX(N160,O160)*P159,P159)</f>
        <v>1.33877978058913</v>
      </c>
    </row>
    <row r="161" customFormat="false" ht="12.75" hidden="false" customHeight="false" outlineLevel="0" collapsed="false">
      <c r="A161" s="1254" t="n">
        <f aca="false">EDATE(A160,1)</f>
        <v>39722</v>
      </c>
      <c r="B161" s="1245" t="n">
        <f aca="false">'[3]Monthly Curve Calc.'!B164</f>
        <v>351.398323998873</v>
      </c>
      <c r="C161" s="1246" t="n">
        <f aca="false">'[3]Monthly Curve Calc.'!C164</f>
        <v>217.287205601944</v>
      </c>
      <c r="D161" s="1246" t="n">
        <f aca="false">'[3]Monthly Curve Calc.'!D164</f>
        <v>172.518182858213</v>
      </c>
      <c r="E161" s="1246" t="n">
        <f aca="false">'[3]Monthly Curve Calc.'!E164</f>
        <v>20.4008333333333</v>
      </c>
      <c r="F161" s="1247" t="n">
        <f aca="false">'[3]Monthly Curve Calc.'!F164</f>
        <v>2.51555897685407</v>
      </c>
      <c r="G161" s="1255" t="n">
        <f aca="false">IF(AND($A161&gt;G$16,MONTH($A161)=MONTH(G$16)),B160/B148,G160)</f>
        <v>1.075</v>
      </c>
      <c r="H161" s="1253" t="n">
        <f aca="false">IF(AND($A161&gt;H$16,MONTH($A161)=MONTH(H$16)),C160/C148,H160)</f>
        <v>1.02675304554174</v>
      </c>
      <c r="I161" s="1253" t="n">
        <f aca="false">IF(AND($A161&gt;I$16,MONTH($A161)=MONTH(I$16)),C160/C148-I$18,I160)</f>
        <v>1.02425304554174</v>
      </c>
      <c r="J161" s="1253" t="n">
        <f aca="false">IF(AND($A161&gt;J$16,MONTH($A161)=MONTH(J$16)),D160/D148,J160)</f>
        <v>1.02168740887725</v>
      </c>
      <c r="K161" s="1253" t="n">
        <f aca="false">IF($A161&gt;=K$16,IF(MONTH($A161)=MONTH(K$16),AVERAGE(E149:E160),K160),K160)</f>
        <v>19.7425</v>
      </c>
      <c r="L161" s="1256" t="n">
        <f aca="false">IF($A161&gt;=L$16,IF(MONTH($A161)=MONTH(L$16),AVERAGE(F149:F160),L160),L160)</f>
        <v>2.43296671319364</v>
      </c>
      <c r="M161" s="1215" t="n">
        <f aca="false">M160+1</f>
        <v>149</v>
      </c>
      <c r="N161" s="1252" t="n">
        <f aca="false">HLOOKUP(N$14,Dec_Change,$M161)</f>
        <v>1.02675304554174</v>
      </c>
      <c r="O161" s="1253" t="n">
        <f aca="false">O160</f>
        <v>1.005</v>
      </c>
      <c r="P161" s="1256" t="n">
        <f aca="false">IF(AND($A161&gt;=P$16,MONTH($A161)=MONTH(P$16)),MAX(N161,O161)*P160,P160)</f>
        <v>1.33877978058913</v>
      </c>
    </row>
    <row r="162" customFormat="false" ht="12.75" hidden="false" customHeight="false" outlineLevel="0" collapsed="false">
      <c r="A162" s="1254" t="n">
        <f aca="false">EDATE(A161,1)</f>
        <v>39753</v>
      </c>
      <c r="B162" s="1245" t="n">
        <f aca="false">'[3]Monthly Curve Calc.'!B165</f>
        <v>353.522498412718</v>
      </c>
      <c r="C162" s="1246" t="n">
        <f aca="false">'[3]Monthly Curve Calc.'!C165</f>
        <v>217.759898027525</v>
      </c>
      <c r="D162" s="1246" t="n">
        <f aca="false">'[3]Monthly Curve Calc.'!D165</f>
        <v>172.809579463502</v>
      </c>
      <c r="E162" s="1246" t="n">
        <f aca="false">'[3]Monthly Curve Calc.'!E165</f>
        <v>20.4529166666667</v>
      </c>
      <c r="F162" s="1247" t="n">
        <f aca="false">'[3]Monthly Curve Calc.'!F165</f>
        <v>2.52087883273429</v>
      </c>
      <c r="G162" s="1255" t="n">
        <f aca="false">IF(AND($A162&gt;G$16,MONTH($A162)=MONTH(G$16)),B161/B149,G161)</f>
        <v>1.075</v>
      </c>
      <c r="H162" s="1253" t="n">
        <f aca="false">IF(AND($A162&gt;H$16,MONTH($A162)=MONTH(H$16)),C161/C149,H161)</f>
        <v>1.02675304554174</v>
      </c>
      <c r="I162" s="1253" t="n">
        <f aca="false">IF(AND($A162&gt;I$16,MONTH($A162)=MONTH(I$16)),C161/C149-I$18,I161)</f>
        <v>1.02425304554174</v>
      </c>
      <c r="J162" s="1253" t="n">
        <f aca="false">IF(AND($A162&gt;J$16,MONTH($A162)=MONTH(J$16)),D161/D149,J161)</f>
        <v>1.02168740887725</v>
      </c>
      <c r="K162" s="1253" t="n">
        <f aca="false">IF($A162&gt;=K$16,IF(MONTH($A162)=MONTH(K$16),AVERAGE(E150:E161),K161),K161)</f>
        <v>19.7425</v>
      </c>
      <c r="L162" s="1256" t="n">
        <f aca="false">IF($A162&gt;=L$16,IF(MONTH($A162)=MONTH(L$16),AVERAGE(F150:F161),L161),L161)</f>
        <v>2.43296671319364</v>
      </c>
      <c r="M162" s="1215" t="n">
        <f aca="false">M161+1</f>
        <v>150</v>
      </c>
      <c r="N162" s="1252" t="n">
        <f aca="false">HLOOKUP(N$14,Dec_Change,$M162)</f>
        <v>1.02675304554174</v>
      </c>
      <c r="O162" s="1253" t="n">
        <f aca="false">O161</f>
        <v>1.005</v>
      </c>
      <c r="P162" s="1256" t="n">
        <f aca="false">IF(AND($A162&gt;=P$16,MONTH($A162)=MONTH(P$16)),MAX(N162,O162)*P161,P161)</f>
        <v>1.33877978058913</v>
      </c>
    </row>
    <row r="163" customFormat="false" ht="12.75" hidden="false" customHeight="false" outlineLevel="0" collapsed="false">
      <c r="A163" s="1254" t="n">
        <f aca="false">EDATE(A162,1)</f>
        <v>39783</v>
      </c>
      <c r="B163" s="1245" t="n">
        <f aca="false">'[3]Monthly Curve Calc.'!B166</f>
        <v>355.659513288888</v>
      </c>
      <c r="C163" s="1246" t="n">
        <f aca="false">'[3]Monthly Curve Calc.'!C166</f>
        <v>218.233618760911</v>
      </c>
      <c r="D163" s="1246" t="n">
        <f aca="false">'[3]Monthly Curve Calc.'!D166</f>
        <v>173.101468260283</v>
      </c>
      <c r="E163" s="1246" t="n">
        <f aca="false">'[3]Monthly Curve Calc.'!E166</f>
        <v>20.505</v>
      </c>
      <c r="F163" s="1247" t="n">
        <f aca="false">'[3]Monthly Curve Calc.'!F166</f>
        <v>2.52620993894371</v>
      </c>
      <c r="G163" s="1255" t="n">
        <f aca="false">IF(AND($A163&gt;G$16,MONTH($A163)=MONTH(G$16)),B162/B150,G162)</f>
        <v>1.075</v>
      </c>
      <c r="H163" s="1253" t="n">
        <f aca="false">IF(AND($A163&gt;H$16,MONTH($A163)=MONTH(H$16)),C162/C150,H162)</f>
        <v>1.02675304554174</v>
      </c>
      <c r="I163" s="1253" t="n">
        <f aca="false">IF(AND($A163&gt;I$16,MONTH($A163)=MONTH(I$16)),C162/C150-I$18,I162)</f>
        <v>1.02425304554174</v>
      </c>
      <c r="J163" s="1253" t="n">
        <f aca="false">IF(AND($A163&gt;J$16,MONTH($A163)=MONTH(J$16)),D162/D150,J162)</f>
        <v>1.02168740887725</v>
      </c>
      <c r="K163" s="1253" t="n">
        <f aca="false">IF($A163&gt;=K$16,IF(MONTH($A163)=MONTH(K$16),AVERAGE(E151:E162),K162),K162)</f>
        <v>19.7425</v>
      </c>
      <c r="L163" s="1256" t="n">
        <f aca="false">IF($A163&gt;=L$16,IF(MONTH($A163)=MONTH(L$16),AVERAGE(F151:F162),L162),L162)</f>
        <v>2.43296671319364</v>
      </c>
      <c r="M163" s="1215" t="n">
        <f aca="false">M162+1</f>
        <v>151</v>
      </c>
      <c r="N163" s="1252" t="n">
        <f aca="false">HLOOKUP(N$14,Dec_Change,$M163)</f>
        <v>1.02675304554174</v>
      </c>
      <c r="O163" s="1253" t="n">
        <f aca="false">O162</f>
        <v>1.005</v>
      </c>
      <c r="P163" s="1256" t="n">
        <f aca="false">IF(AND($A163&gt;=P$16,MONTH($A163)=MONTH(P$16)),MAX(N163,O163)*P162,P162)</f>
        <v>1.33877978058913</v>
      </c>
    </row>
    <row r="164" customFormat="false" ht="12.75" hidden="false" customHeight="false" outlineLevel="0" collapsed="false">
      <c r="A164" s="1254" t="n">
        <f aca="false">EDATE(A163,1)</f>
        <v>39814</v>
      </c>
      <c r="B164" s="1245" t="n">
        <f aca="false">'[3]Monthly Curve Calc.'!B167</f>
        <v>357.726128124347</v>
      </c>
      <c r="C164" s="1246" t="n">
        <f aca="false">'[3]Monthly Curve Calc.'!C167</f>
        <v>218.700452127379</v>
      </c>
      <c r="D164" s="1246" t="n">
        <f aca="false">'[3]Monthly Curve Calc.'!D167</f>
        <v>173.38121940357</v>
      </c>
      <c r="E164" s="1246" t="n">
        <f aca="false">'[3]Monthly Curve Calc.'!E167</f>
        <v>20.555</v>
      </c>
      <c r="F164" s="1247" t="n">
        <f aca="false">'[3]Monthly Curve Calc.'!F167</f>
        <v>2.53141351780118</v>
      </c>
      <c r="G164" s="1255" t="n">
        <f aca="false">IF(AND($A164&gt;G$16,MONTH($A164)=MONTH(G$16)),B163/B151,G163)</f>
        <v>1.075</v>
      </c>
      <c r="H164" s="1253" t="n">
        <f aca="false">IF(AND($A164&gt;H$16,MONTH($A164)=MONTH(H$16)),C163/C151,H163)</f>
        <v>1.02675304554174</v>
      </c>
      <c r="I164" s="1253" t="n">
        <f aca="false">IF(AND($A164&gt;I$16,MONTH($A164)=MONTH(I$16)),C163/C151-I$18,I163)</f>
        <v>1.02425304554174</v>
      </c>
      <c r="J164" s="1253" t="n">
        <f aca="false">IF(AND($A164&gt;J$16,MONTH($A164)=MONTH(J$16)),D163/D151,J163)</f>
        <v>1.02045829278556</v>
      </c>
      <c r="K164" s="1253" t="n">
        <f aca="false">IF($A164&gt;=K$16,IF(MONTH($A164)=MONTH(K$16),AVERAGE(E152:E163),K163),K163)</f>
        <v>20.2185416666667</v>
      </c>
      <c r="L164" s="1256" t="n">
        <f aca="false">IF($A164&gt;=L$16,IF(MONTH($A164)=MONTH(L$16),AVERAGE(F152:F163),L163),L163)</f>
        <v>2.49709413477765</v>
      </c>
      <c r="M164" s="1215" t="n">
        <f aca="false">M163+1</f>
        <v>152</v>
      </c>
      <c r="N164" s="1252" t="n">
        <f aca="false">HLOOKUP(N$14,Dec_Change,$M164)</f>
        <v>1.02675304554174</v>
      </c>
      <c r="O164" s="1253" t="n">
        <f aca="false">O163</f>
        <v>1.005</v>
      </c>
      <c r="P164" s="1256" t="n">
        <f aca="false">IF(AND($A164&gt;=P$16,MONTH($A164)=MONTH(P$16)),MAX(N164,O164)*P163,P163)</f>
        <v>1.33877978058913</v>
      </c>
    </row>
    <row r="165" customFormat="false" ht="12.75" hidden="false" customHeight="false" outlineLevel="0" collapsed="false">
      <c r="A165" s="1254" t="n">
        <f aca="false">EDATE(A164,1)</f>
        <v>39845</v>
      </c>
      <c r="B165" s="1245" t="n">
        <f aca="false">'[3]Monthly Curve Calc.'!B168</f>
        <v>359.80475134625</v>
      </c>
      <c r="C165" s="1246" t="n">
        <f aca="false">'[3]Monthly Curve Calc.'!C168</f>
        <v>219.168284118134</v>
      </c>
      <c r="D165" s="1246" t="n">
        <f aca="false">'[3]Monthly Curve Calc.'!D168</f>
        <v>173.661422655686</v>
      </c>
      <c r="E165" s="1246" t="n">
        <f aca="false">'[3]Monthly Curve Calc.'!E168</f>
        <v>20.605</v>
      </c>
      <c r="F165" s="1247" t="n">
        <f aca="false">'[3]Monthly Curve Calc.'!F168</f>
        <v>2.53662781517912</v>
      </c>
      <c r="G165" s="1255" t="n">
        <f aca="false">IF(AND($A165&gt;G$16,MONTH($A165)=MONTH(G$16)),B164/B152,G164)</f>
        <v>1.075</v>
      </c>
      <c r="H165" s="1253" t="n">
        <f aca="false">IF(AND($A165&gt;H$16,MONTH($A165)=MONTH(H$16)),C164/C152,H164)</f>
        <v>1.02675304554174</v>
      </c>
      <c r="I165" s="1253" t="n">
        <f aca="false">IF(AND($A165&gt;I$16,MONTH($A165)=MONTH(I$16)),C164/C152-I$18,I164)</f>
        <v>1.02425304554174</v>
      </c>
      <c r="J165" s="1253" t="n">
        <f aca="false">IF(AND($A165&gt;J$16,MONTH($A165)=MONTH(J$16)),D164/D152,J164)</f>
        <v>1.02045829278556</v>
      </c>
      <c r="K165" s="1253" t="n">
        <f aca="false">IF($A165&gt;=K$16,IF(MONTH($A165)=MONTH(K$16),AVERAGE(E153:E164),K164),K164)</f>
        <v>20.2185416666667</v>
      </c>
      <c r="L165" s="1256" t="n">
        <f aca="false">IF($A165&gt;=L$16,IF(MONTH($A165)=MONTH(L$16),AVERAGE(F153:F164),L164),L164)</f>
        <v>2.49709413477765</v>
      </c>
      <c r="M165" s="1215" t="n">
        <f aca="false">M164+1</f>
        <v>153</v>
      </c>
      <c r="N165" s="1252" t="n">
        <f aca="false">HLOOKUP(N$14,Dec_Change,$M165)</f>
        <v>1.02675304554174</v>
      </c>
      <c r="O165" s="1253" t="n">
        <f aca="false">O164</f>
        <v>1.005</v>
      </c>
      <c r="P165" s="1256" t="n">
        <f aca="false">IF(AND($A165&gt;=P$16,MONTH($A165)=MONTH(P$16)),MAX(N165,O165)*P164,P164)</f>
        <v>1.33877978058913</v>
      </c>
    </row>
    <row r="166" customFormat="false" ht="12.75" hidden="false" customHeight="false" outlineLevel="0" collapsed="false">
      <c r="A166" s="1254" t="n">
        <f aca="false">EDATE(A165,1)</f>
        <v>39873</v>
      </c>
      <c r="B166" s="1245" t="n">
        <f aca="false">'[3]Monthly Curve Calc.'!B169</f>
        <v>361.895452731191</v>
      </c>
      <c r="C166" s="1246" t="n">
        <f aca="false">'[3]Monthly Curve Calc.'!C169</f>
        <v>219.637116869379</v>
      </c>
      <c r="D166" s="1246" t="n">
        <f aca="false">'[3]Monthly Curve Calc.'!D169</f>
        <v>173.94207874729</v>
      </c>
      <c r="E166" s="1246" t="n">
        <f aca="false">'[3]Monthly Curve Calc.'!E169</f>
        <v>20.655</v>
      </c>
      <c r="F166" s="1247" t="n">
        <f aca="false">'[3]Monthly Curve Calc.'!F169</f>
        <v>2.54185285315591</v>
      </c>
      <c r="G166" s="1255" t="n">
        <f aca="false">IF(AND($A166&gt;G$16,MONTH($A166)=MONTH(G$16)),B165/B153,G165)</f>
        <v>1.075</v>
      </c>
      <c r="H166" s="1253" t="n">
        <f aca="false">IF(AND($A166&gt;H$16,MONTH($A166)=MONTH(H$16)),C165/C153,H165)</f>
        <v>1.02675304554174</v>
      </c>
      <c r="I166" s="1253" t="n">
        <f aca="false">IF(AND($A166&gt;I$16,MONTH($A166)=MONTH(I$16)),C165/C153-I$18,I165)</f>
        <v>1.02425304554174</v>
      </c>
      <c r="J166" s="1253" t="n">
        <f aca="false">IF(AND($A166&gt;J$16,MONTH($A166)=MONTH(J$16)),D165/D153,J165)</f>
        <v>1.02045829278556</v>
      </c>
      <c r="K166" s="1253" t="n">
        <f aca="false">IF($A166&gt;=K$16,IF(MONTH($A166)=MONTH(K$16),AVERAGE(E154:E165),K165),K165)</f>
        <v>20.2185416666667</v>
      </c>
      <c r="L166" s="1256" t="n">
        <f aca="false">IF($A166&gt;=L$16,IF(MONTH($A166)=MONTH(L$16),AVERAGE(F154:F165),L165),L165)</f>
        <v>2.49709413477765</v>
      </c>
      <c r="M166" s="1215" t="n">
        <f aca="false">M165+1</f>
        <v>154</v>
      </c>
      <c r="N166" s="1252" t="n">
        <f aca="false">HLOOKUP(N$14,Dec_Change,$M166)</f>
        <v>1.02675304554174</v>
      </c>
      <c r="O166" s="1253" t="n">
        <f aca="false">O165</f>
        <v>1.005</v>
      </c>
      <c r="P166" s="1256" t="n">
        <f aca="false">IF(AND($A166&gt;=P$16,MONTH($A166)=MONTH(P$16)),MAX(N166,O166)*P165,P165)</f>
        <v>1.33877978058913</v>
      </c>
    </row>
    <row r="167" customFormat="false" ht="12.75" hidden="false" customHeight="false" outlineLevel="0" collapsed="false">
      <c r="A167" s="1254" t="n">
        <f aca="false">EDATE(A166,1)</f>
        <v>39904</v>
      </c>
      <c r="B167" s="1245" t="n">
        <f aca="false">'[3]Monthly Curve Calc.'!B170</f>
        <v>363.998302461213</v>
      </c>
      <c r="C167" s="1246" t="n">
        <f aca="false">'[3]Monthly Curve Calc.'!C170</f>
        <v>220.106952521885</v>
      </c>
      <c r="D167" s="1246" t="n">
        <f aca="false">'[3]Monthly Curve Calc.'!D170</f>
        <v>174.223188410219</v>
      </c>
      <c r="E167" s="1246" t="n">
        <f aca="false">'[3]Monthly Curve Calc.'!E170</f>
        <v>20.705</v>
      </c>
      <c r="F167" s="1247" t="n">
        <f aca="false">'[3]Monthly Curve Calc.'!F170</f>
        <v>2.54708865385545</v>
      </c>
      <c r="G167" s="1255" t="n">
        <f aca="false">IF(AND($A167&gt;G$16,MONTH($A167)=MONTH(G$16)),B166/B154,G166)</f>
        <v>1.075</v>
      </c>
      <c r="H167" s="1253" t="n">
        <f aca="false">IF(AND($A167&gt;H$16,MONTH($A167)=MONTH(H$16)),C166/C154,H166)</f>
        <v>1.02675304554174</v>
      </c>
      <c r="I167" s="1253" t="n">
        <f aca="false">IF(AND($A167&gt;I$16,MONTH($A167)=MONTH(I$16)),C166/C154-I$18,I166)</f>
        <v>1.02425304554174</v>
      </c>
      <c r="J167" s="1253" t="n">
        <f aca="false">IF(AND($A167&gt;J$16,MONTH($A167)=MONTH(J$16)),D166/D154,J166)</f>
        <v>1.02045829278556</v>
      </c>
      <c r="K167" s="1253" t="n">
        <f aca="false">IF($A167&gt;=K$16,IF(MONTH($A167)=MONTH(K$16),AVERAGE(E155:E166),K166),K166)</f>
        <v>20.2185416666667</v>
      </c>
      <c r="L167" s="1256" t="n">
        <f aca="false">IF($A167&gt;=L$16,IF(MONTH($A167)=MONTH(L$16),AVERAGE(F155:F166),L166),L166)</f>
        <v>2.49709413477765</v>
      </c>
      <c r="M167" s="1215" t="n">
        <f aca="false">M166+1</f>
        <v>155</v>
      </c>
      <c r="N167" s="1252" t="n">
        <f aca="false">HLOOKUP(N$14,Dec_Change,$M167)</f>
        <v>1.02675304554174</v>
      </c>
      <c r="O167" s="1253" t="n">
        <f aca="false">O166</f>
        <v>1.005</v>
      </c>
      <c r="P167" s="1256" t="n">
        <f aca="false">IF(AND($A167&gt;=P$16,MONTH($A167)=MONTH(P$16)),MAX(N167,O167)*P166,P166)</f>
        <v>1.33877978058913</v>
      </c>
    </row>
    <row r="168" customFormat="false" ht="12.75" hidden="false" customHeight="false" outlineLevel="0" collapsed="false">
      <c r="A168" s="1254" t="n">
        <f aca="false">EDATE(A167,1)</f>
        <v>39934</v>
      </c>
      <c r="B168" s="1245" t="n">
        <f aca="false">'[3]Monthly Curve Calc.'!B171</f>
        <v>366.113371126161</v>
      </c>
      <c r="C168" s="1246" t="n">
        <f aca="false">'[3]Monthly Curve Calc.'!C171</f>
        <v>220.577793221005</v>
      </c>
      <c r="D168" s="1246" t="n">
        <f aca="false">'[3]Monthly Curve Calc.'!D171</f>
        <v>174.504752377496</v>
      </c>
      <c r="E168" s="1246" t="n">
        <f aca="false">'[3]Monthly Curve Calc.'!E171</f>
        <v>20.755</v>
      </c>
      <c r="F168" s="1247" t="n">
        <f aca="false">'[3]Monthly Curve Calc.'!F171</f>
        <v>2.55233523944716</v>
      </c>
      <c r="G168" s="1255" t="n">
        <f aca="false">IF(AND($A168&gt;G$16,MONTH($A168)=MONTH(G$16)),B167/B155,G167)</f>
        <v>1.07399906832253</v>
      </c>
      <c r="H168" s="1253" t="n">
        <f aca="false">IF(AND($A168&gt;H$16,MONTH($A168)=MONTH(H$16)),C167/C155,H167)</f>
        <v>1.02627111225796</v>
      </c>
      <c r="I168" s="1253" t="n">
        <f aca="false">IF(AND($A168&gt;I$16,MONTH($A168)=MONTH(I$16)),C167/C155-I$18,I167)</f>
        <v>1.02377111225796</v>
      </c>
      <c r="J168" s="1253" t="n">
        <f aca="false">IF(AND($A168&gt;J$16,MONTH($A168)=MONTH(J$16)),D167/D155,J167)</f>
        <v>1.02045829278556</v>
      </c>
      <c r="K168" s="1253" t="n">
        <f aca="false">IF($A168&gt;=K$16,IF(MONTH($A168)=MONTH(K$16),AVERAGE(E156:E167),K167),K167)</f>
        <v>20.2185416666667</v>
      </c>
      <c r="L168" s="1256" t="n">
        <f aca="false">IF($A168&gt;=L$16,IF(MONTH($A168)=MONTH(L$16),AVERAGE(F156:F167),L167),L167)</f>
        <v>2.49709413477765</v>
      </c>
      <c r="M168" s="1215" t="n">
        <f aca="false">M167+1</f>
        <v>156</v>
      </c>
      <c r="N168" s="1252" t="n">
        <f aca="false">HLOOKUP(N$14,Dec_Change,$M168)</f>
        <v>1.02627111225796</v>
      </c>
      <c r="O168" s="1253" t="n">
        <f aca="false">O167</f>
        <v>1.005</v>
      </c>
      <c r="P168" s="1256" t="n">
        <f aca="false">IF(AND($A168&gt;=P$16,MONTH($A168)=MONTH(P$16)),MAX(N168,O168)*P167,P167)</f>
        <v>1.37395101449367</v>
      </c>
    </row>
    <row r="169" customFormat="false" ht="12.75" hidden="false" customHeight="false" outlineLevel="0" collapsed="false">
      <c r="A169" s="1254" t="n">
        <f aca="false">EDATE(A168,1)</f>
        <v>39965</v>
      </c>
      <c r="B169" s="1245" t="n">
        <f aca="false">'[3]Monthly Curve Calc.'!B172</f>
        <v>368.240729726054</v>
      </c>
      <c r="C169" s="1246" t="n">
        <f aca="false">'[3]Monthly Curve Calc.'!C172</f>
        <v>221.049641116678</v>
      </c>
      <c r="D169" s="1246" t="n">
        <f aca="false">'[3]Monthly Curve Calc.'!D172</f>
        <v>174.786771383327</v>
      </c>
      <c r="E169" s="1246" t="n">
        <f aca="false">'[3]Monthly Curve Calc.'!E172</f>
        <v>20.805</v>
      </c>
      <c r="F169" s="1247" t="n">
        <f aca="false">'[3]Monthly Curve Calc.'!F172</f>
        <v>2.55759263214617</v>
      </c>
      <c r="G169" s="1255" t="n">
        <f aca="false">IF(AND($A169&gt;G$16,MONTH($A169)=MONTH(G$16)),B168/B156,G168)</f>
        <v>1.07399906832253</v>
      </c>
      <c r="H169" s="1253" t="n">
        <f aca="false">IF(AND($A169&gt;H$16,MONTH($A169)=MONTH(H$16)),C168/C156,H168)</f>
        <v>1.02627111225796</v>
      </c>
      <c r="I169" s="1253" t="n">
        <f aca="false">IF(AND($A169&gt;I$16,MONTH($A169)=MONTH(I$16)),C168/C156-I$18,I168)</f>
        <v>1.02377111225796</v>
      </c>
      <c r="J169" s="1253" t="n">
        <f aca="false">IF(AND($A169&gt;J$16,MONTH($A169)=MONTH(J$16)),D168/D156,J168)</f>
        <v>1.02045829278556</v>
      </c>
      <c r="K169" s="1253" t="n">
        <f aca="false">IF($A169&gt;=K$16,IF(MONTH($A169)=MONTH(K$16),AVERAGE(E157:E168),K168),K168)</f>
        <v>20.2185416666667</v>
      </c>
      <c r="L169" s="1256" t="n">
        <f aca="false">IF($A169&gt;=L$16,IF(MONTH($A169)=MONTH(L$16),AVERAGE(F157:F168),L168),L168)</f>
        <v>2.49709413477765</v>
      </c>
      <c r="M169" s="1215" t="n">
        <f aca="false">M168+1</f>
        <v>157</v>
      </c>
      <c r="N169" s="1252" t="n">
        <f aca="false">HLOOKUP(N$14,Dec_Change,$M169)</f>
        <v>1.02627111225796</v>
      </c>
      <c r="O169" s="1253" t="n">
        <f aca="false">O168</f>
        <v>1.005</v>
      </c>
      <c r="P169" s="1256" t="n">
        <f aca="false">IF(AND($A169&gt;=P$16,MONTH($A169)=MONTH(P$16)),MAX(N169,O169)*P168,P168)</f>
        <v>1.37395101449367</v>
      </c>
    </row>
    <row r="170" customFormat="false" ht="12.75" hidden="false" customHeight="false" outlineLevel="0" collapsed="false">
      <c r="A170" s="1254" t="n">
        <f aca="false">EDATE(A169,1)</f>
        <v>39995</v>
      </c>
      <c r="B170" s="1245" t="n">
        <f aca="false">'[3]Monthly Curve Calc.'!B173</f>
        <v>370.380449673469</v>
      </c>
      <c r="C170" s="1246" t="n">
        <f aca="false">'[3]Monthly Curve Calc.'!C173</f>
        <v>221.522498363443</v>
      </c>
      <c r="D170" s="1246" t="n">
        <f aca="false">'[3]Monthly Curve Calc.'!D173</f>
        <v>175.069246163104</v>
      </c>
      <c r="E170" s="1246" t="n">
        <f aca="false">'[3]Monthly Curve Calc.'!E173</f>
        <v>20.855</v>
      </c>
      <c r="F170" s="1247" t="n">
        <f aca="false">'[3]Monthly Curve Calc.'!F173</f>
        <v>2.56286085421335</v>
      </c>
      <c r="G170" s="1255" t="n">
        <f aca="false">IF(AND($A170&gt;G$16,MONTH($A170)=MONTH(G$16)),B169/B157,G169)</f>
        <v>1.07399906832253</v>
      </c>
      <c r="H170" s="1253" t="n">
        <f aca="false">IF(AND($A170&gt;H$16,MONTH($A170)=MONTH(H$16)),C169/C157,H169)</f>
        <v>1.02627111225796</v>
      </c>
      <c r="I170" s="1253" t="n">
        <f aca="false">IF(AND($A170&gt;I$16,MONTH($A170)=MONTH(I$16)),C169/C157-I$18,I169)</f>
        <v>1.02377111225796</v>
      </c>
      <c r="J170" s="1253" t="n">
        <f aca="false">IF(AND($A170&gt;J$16,MONTH($A170)=MONTH(J$16)),D169/D157,J169)</f>
        <v>1.02045829278556</v>
      </c>
      <c r="K170" s="1253" t="n">
        <f aca="false">IF($A170&gt;=K$16,IF(MONTH($A170)=MONTH(K$16),AVERAGE(E158:E169),K169),K169)</f>
        <v>20.2185416666667</v>
      </c>
      <c r="L170" s="1256" t="n">
        <f aca="false">IF($A170&gt;=L$16,IF(MONTH($A170)=MONTH(L$16),AVERAGE(F158:F169),L169),L169)</f>
        <v>2.49709413477765</v>
      </c>
      <c r="M170" s="1215" t="n">
        <f aca="false">M169+1</f>
        <v>158</v>
      </c>
      <c r="N170" s="1252" t="n">
        <f aca="false">HLOOKUP(N$14,Dec_Change,$M170)</f>
        <v>1.02627111225796</v>
      </c>
      <c r="O170" s="1253" t="n">
        <f aca="false">O169</f>
        <v>1.005</v>
      </c>
      <c r="P170" s="1256" t="n">
        <f aca="false">IF(AND($A170&gt;=P$16,MONTH($A170)=MONTH(P$16)),MAX(N170,O170)*P169,P169)</f>
        <v>1.37395101449367</v>
      </c>
    </row>
    <row r="171" customFormat="false" ht="12.75" hidden="false" customHeight="false" outlineLevel="0" collapsed="false">
      <c r="A171" s="1254" t="n">
        <f aca="false">EDATE(A170,1)</f>
        <v>40026</v>
      </c>
      <c r="B171" s="1245" t="n">
        <f aca="false">'[3]Monthly Curve Calc.'!B174</f>
        <v>372.532602795934</v>
      </c>
      <c r="C171" s="1246" t="n">
        <f aca="false">'[3]Monthly Curve Calc.'!C174</f>
        <v>221.99636712045</v>
      </c>
      <c r="D171" s="1246" t="n">
        <f aca="false">'[3]Monthly Curve Calc.'!D174</f>
        <v>175.352177453409</v>
      </c>
      <c r="E171" s="1246" t="n">
        <f aca="false">'[3]Monthly Curve Calc.'!E174</f>
        <v>20.905</v>
      </c>
      <c r="F171" s="1247" t="n">
        <f aca="false">'[3]Monthly Curve Calc.'!F174</f>
        <v>2.56813992795542</v>
      </c>
      <c r="G171" s="1255" t="n">
        <f aca="false">IF(AND($A171&gt;G$16,MONTH($A171)=MONTH(G$16)),B170/B158,G170)</f>
        <v>1.07399906832253</v>
      </c>
      <c r="H171" s="1253" t="n">
        <f aca="false">IF(AND($A171&gt;H$16,MONTH($A171)=MONTH(H$16)),C170/C158,H170)</f>
        <v>1.02627111225796</v>
      </c>
      <c r="I171" s="1253" t="n">
        <f aca="false">IF(AND($A171&gt;I$16,MONTH($A171)=MONTH(I$16)),C170/C158-I$18,I170)</f>
        <v>1.02377111225796</v>
      </c>
      <c r="J171" s="1253" t="n">
        <f aca="false">IF(AND($A171&gt;J$16,MONTH($A171)=MONTH(J$16)),D170/D158,J170)</f>
        <v>1.02045829278556</v>
      </c>
      <c r="K171" s="1253" t="n">
        <f aca="false">IF($A171&gt;=K$16,IF(MONTH($A171)=MONTH(K$16),AVERAGE(E159:E170),K170),K170)</f>
        <v>20.2185416666667</v>
      </c>
      <c r="L171" s="1256" t="n">
        <f aca="false">IF($A171&gt;=L$16,IF(MONTH($A171)=MONTH(L$16),AVERAGE(F159:F170),L170),L170)</f>
        <v>2.49709413477765</v>
      </c>
      <c r="M171" s="1215" t="n">
        <f aca="false">M170+1</f>
        <v>159</v>
      </c>
      <c r="N171" s="1252" t="n">
        <f aca="false">HLOOKUP(N$14,Dec_Change,$M171)</f>
        <v>1.02627111225796</v>
      </c>
      <c r="O171" s="1253" t="n">
        <f aca="false">O170</f>
        <v>1.005</v>
      </c>
      <c r="P171" s="1256" t="n">
        <f aca="false">IF(AND($A171&gt;=P$16,MONTH($A171)=MONTH(P$16)),MAX(N171,O171)*P170,P170)</f>
        <v>1.37395101449367</v>
      </c>
    </row>
    <row r="172" customFormat="false" ht="12.75" hidden="false" customHeight="false" outlineLevel="0" collapsed="false">
      <c r="A172" s="1254" t="n">
        <f aca="false">EDATE(A171,1)</f>
        <v>40057</v>
      </c>
      <c r="B172" s="1245" t="n">
        <f aca="false">'[3]Monthly Curve Calc.'!B175</f>
        <v>374.697261338343</v>
      </c>
      <c r="C172" s="1246" t="n">
        <f aca="false">'[3]Monthly Curve Calc.'!C175</f>
        <v>222.471249551465</v>
      </c>
      <c r="D172" s="1246" t="n">
        <f aca="false">'[3]Monthly Curve Calc.'!D175</f>
        <v>175.635565992013</v>
      </c>
      <c r="E172" s="1246" t="n">
        <f aca="false">'[3]Monthly Curve Calc.'!E175</f>
        <v>20.955</v>
      </c>
      <c r="F172" s="1247" t="n">
        <f aca="false">'[3]Monthly Curve Calc.'!F175</f>
        <v>2.57342987572505</v>
      </c>
      <c r="G172" s="1255" t="n">
        <f aca="false">IF(AND($A172&gt;G$16,MONTH($A172)=MONTH(G$16)),B171/B159,G171)</f>
        <v>1.07399906832253</v>
      </c>
      <c r="H172" s="1253" t="n">
        <f aca="false">IF(AND($A172&gt;H$16,MONTH($A172)=MONTH(H$16)),C171/C159,H171)</f>
        <v>1.02627111225796</v>
      </c>
      <c r="I172" s="1253" t="n">
        <f aca="false">IF(AND($A172&gt;I$16,MONTH($A172)=MONTH(I$16)),C171/C159-I$18,I171)</f>
        <v>1.02377111225796</v>
      </c>
      <c r="J172" s="1253" t="n">
        <f aca="false">IF(AND($A172&gt;J$16,MONTH($A172)=MONTH(J$16)),D171/D159,J171)</f>
        <v>1.02045829278556</v>
      </c>
      <c r="K172" s="1253" t="n">
        <f aca="false">IF($A172&gt;=K$16,IF(MONTH($A172)=MONTH(K$16),AVERAGE(E160:E171),K171),K171)</f>
        <v>20.2185416666667</v>
      </c>
      <c r="L172" s="1256" t="n">
        <f aca="false">IF($A172&gt;=L$16,IF(MONTH($A172)=MONTH(L$16),AVERAGE(F160:F171),L171),L171)</f>
        <v>2.49709413477765</v>
      </c>
      <c r="M172" s="1215" t="n">
        <f aca="false">M171+1</f>
        <v>160</v>
      </c>
      <c r="N172" s="1252" t="n">
        <f aca="false">HLOOKUP(N$14,Dec_Change,$M172)</f>
        <v>1.02627111225796</v>
      </c>
      <c r="O172" s="1253" t="n">
        <f aca="false">O171</f>
        <v>1.005</v>
      </c>
      <c r="P172" s="1256" t="n">
        <f aca="false">IF(AND($A172&gt;=P$16,MONTH($A172)=MONTH(P$16)),MAX(N172,O172)*P171,P171)</f>
        <v>1.37395101449367</v>
      </c>
    </row>
    <row r="173" customFormat="false" ht="12.75" hidden="false" customHeight="false" outlineLevel="0" collapsed="false">
      <c r="A173" s="1254" t="n">
        <f aca="false">EDATE(A172,1)</f>
        <v>40087</v>
      </c>
      <c r="B173" s="1245" t="n">
        <f aca="false">'[3]Monthly Curve Calc.'!B176</f>
        <v>376.874497965382</v>
      </c>
      <c r="C173" s="1246" t="n">
        <f aca="false">'[3]Monthly Curve Calc.'!C176</f>
        <v>222.947147824885</v>
      </c>
      <c r="D173" s="1246" t="n">
        <f aca="false">'[3]Monthly Curve Calc.'!D176</f>
        <v>175.91941251788</v>
      </c>
      <c r="E173" s="1246" t="n">
        <f aca="false">'[3]Monthly Curve Calc.'!E176</f>
        <v>21.005</v>
      </c>
      <c r="F173" s="1247" t="n">
        <f aca="false">'[3]Monthly Curve Calc.'!F176</f>
        <v>2.57873071992097</v>
      </c>
      <c r="G173" s="1255" t="n">
        <f aca="false">IF(AND($A173&gt;G$16,MONTH($A173)=MONTH(G$16)),B172/B160,G172)</f>
        <v>1.07399906832253</v>
      </c>
      <c r="H173" s="1253" t="n">
        <f aca="false">IF(AND($A173&gt;H$16,MONTH($A173)=MONTH(H$16)),C172/C160,H172)</f>
        <v>1.02627111225796</v>
      </c>
      <c r="I173" s="1253" t="n">
        <f aca="false">IF(AND($A173&gt;I$16,MONTH($A173)=MONTH(I$16)),C172/C160-I$18,I172)</f>
        <v>1.02377111225796</v>
      </c>
      <c r="J173" s="1253" t="n">
        <f aca="false">IF(AND($A173&gt;J$16,MONTH($A173)=MONTH(J$16)),D172/D160,J172)</f>
        <v>1.02045829278556</v>
      </c>
      <c r="K173" s="1253" t="n">
        <f aca="false">IF($A173&gt;=K$16,IF(MONTH($A173)=MONTH(K$16),AVERAGE(E161:E172),K172),K172)</f>
        <v>20.2185416666667</v>
      </c>
      <c r="L173" s="1256" t="n">
        <f aca="false">IF($A173&gt;=L$16,IF(MONTH($A173)=MONTH(L$16),AVERAGE(F161:F172),L172),L172)</f>
        <v>2.49709413477765</v>
      </c>
      <c r="M173" s="1215" t="n">
        <f aca="false">M172+1</f>
        <v>161</v>
      </c>
      <c r="N173" s="1252" t="n">
        <f aca="false">HLOOKUP(N$14,Dec_Change,$M173)</f>
        <v>1.02627111225796</v>
      </c>
      <c r="O173" s="1253" t="n">
        <f aca="false">O172</f>
        <v>1.005</v>
      </c>
      <c r="P173" s="1256" t="n">
        <f aca="false">IF(AND($A173&gt;=P$16,MONTH($A173)=MONTH(P$16)),MAX(N173,O173)*P172,P172)</f>
        <v>1.37395101449367</v>
      </c>
    </row>
    <row r="174" customFormat="false" ht="12.75" hidden="false" customHeight="false" outlineLevel="0" collapsed="false">
      <c r="A174" s="1254" t="n">
        <f aca="false">EDATE(A173,1)</f>
        <v>40118</v>
      </c>
      <c r="B174" s="1245" t="n">
        <f aca="false">'[3]Monthly Curve Calc.'!B177</f>
        <v>379.064385763965</v>
      </c>
      <c r="C174" s="1246" t="n">
        <f aca="false">'[3]Monthly Curve Calc.'!C177</f>
        <v>223.424064113743</v>
      </c>
      <c r="D174" s="1246" t="n">
        <f aca="false">'[3]Monthly Curve Calc.'!D177</f>
        <v>176.203717771168</v>
      </c>
      <c r="E174" s="1246" t="n">
        <f aca="false">'[3]Monthly Curve Calc.'!E177</f>
        <v>21.055</v>
      </c>
      <c r="F174" s="1247" t="n">
        <f aca="false">'[3]Monthly Curve Calc.'!F177</f>
        <v>2.58404248298802</v>
      </c>
      <c r="G174" s="1255" t="n">
        <f aca="false">IF(AND($A174&gt;G$16,MONTH($A174)=MONTH(G$16)),B173/B161,G173)</f>
        <v>1.07399906832253</v>
      </c>
      <c r="H174" s="1253" t="n">
        <f aca="false">IF(AND($A174&gt;H$16,MONTH($A174)=MONTH(H$16)),C173/C161,H173)</f>
        <v>1.02627111225796</v>
      </c>
      <c r="I174" s="1253" t="n">
        <f aca="false">IF(AND($A174&gt;I$16,MONTH($A174)=MONTH(I$16)),C173/C161-I$18,I173)</f>
        <v>1.02377111225796</v>
      </c>
      <c r="J174" s="1253" t="n">
        <f aca="false">IF(AND($A174&gt;J$16,MONTH($A174)=MONTH(J$16)),D173/D161,J173)</f>
        <v>1.02045829278556</v>
      </c>
      <c r="K174" s="1253" t="n">
        <f aca="false">IF($A174&gt;=K$16,IF(MONTH($A174)=MONTH(K$16),AVERAGE(E162:E173),K173),K173)</f>
        <v>20.2185416666667</v>
      </c>
      <c r="L174" s="1256" t="n">
        <f aca="false">IF($A174&gt;=L$16,IF(MONTH($A174)=MONTH(L$16),AVERAGE(F162:F173),L173),L173)</f>
        <v>2.49709413477765</v>
      </c>
      <c r="M174" s="1215" t="n">
        <f aca="false">M173+1</f>
        <v>162</v>
      </c>
      <c r="N174" s="1252" t="n">
        <f aca="false">HLOOKUP(N$14,Dec_Change,$M174)</f>
        <v>1.02627111225796</v>
      </c>
      <c r="O174" s="1253" t="n">
        <f aca="false">O173</f>
        <v>1.005</v>
      </c>
      <c r="P174" s="1256" t="n">
        <f aca="false">IF(AND($A174&gt;=P$16,MONTH($A174)=MONTH(P$16)),MAX(N174,O174)*P173,P173)</f>
        <v>1.37395101449367</v>
      </c>
    </row>
    <row r="175" customFormat="false" ht="12.75" hidden="false" customHeight="false" outlineLevel="0" collapsed="false">
      <c r="A175" s="1254" t="n">
        <f aca="false">EDATE(A174,1)</f>
        <v>40148</v>
      </c>
      <c r="B175" s="1245" t="n">
        <f aca="false">'[3]Monthly Curve Calc.'!B178</f>
        <v>381.266998245689</v>
      </c>
      <c r="C175" s="1246" t="n">
        <f aca="false">'[3]Monthly Curve Calc.'!C178</f>
        <v>223.902000595721</v>
      </c>
      <c r="D175" s="1246" t="n">
        <f aca="false">'[3]Monthly Curve Calc.'!D178</f>
        <v>176.488482493231</v>
      </c>
      <c r="E175" s="1246" t="n">
        <f aca="false">'[3]Monthly Curve Calc.'!E178</f>
        <v>21.105</v>
      </c>
      <c r="F175" s="1247" t="n">
        <f aca="false">'[3]Monthly Curve Calc.'!F178</f>
        <v>2.58936518741729</v>
      </c>
      <c r="G175" s="1255" t="n">
        <f aca="false">IF(AND($A175&gt;G$16,MONTH($A175)=MONTH(G$16)),B174/B162,G174)</f>
        <v>1.07399906832253</v>
      </c>
      <c r="H175" s="1253" t="n">
        <f aca="false">IF(AND($A175&gt;H$16,MONTH($A175)=MONTH(H$16)),C174/C162,H174)</f>
        <v>1.02627111225796</v>
      </c>
      <c r="I175" s="1253" t="n">
        <f aca="false">IF(AND($A175&gt;I$16,MONTH($A175)=MONTH(I$16)),C174/C162-I$18,I174)</f>
        <v>1.02377111225796</v>
      </c>
      <c r="J175" s="1253" t="n">
        <f aca="false">IF(AND($A175&gt;J$16,MONTH($A175)=MONTH(J$16)),D174/D162,J174)</f>
        <v>1.02045829278556</v>
      </c>
      <c r="K175" s="1253" t="n">
        <f aca="false">IF($A175&gt;=K$16,IF(MONTH($A175)=MONTH(K$16),AVERAGE(E163:E174),K174),K174)</f>
        <v>20.2185416666667</v>
      </c>
      <c r="L175" s="1256" t="n">
        <f aca="false">IF($A175&gt;=L$16,IF(MONTH($A175)=MONTH(L$16),AVERAGE(F163:F174),L174),L174)</f>
        <v>2.49709413477765</v>
      </c>
      <c r="M175" s="1215" t="n">
        <f aca="false">M174+1</f>
        <v>163</v>
      </c>
      <c r="N175" s="1252" t="n">
        <f aca="false">HLOOKUP(N$14,Dec_Change,$M175)</f>
        <v>1.02627111225796</v>
      </c>
      <c r="O175" s="1253" t="n">
        <f aca="false">O174</f>
        <v>1.005</v>
      </c>
      <c r="P175" s="1256" t="n">
        <f aca="false">IF(AND($A175&gt;=P$16,MONTH($A175)=MONTH(P$16)),MAX(N175,O175)*P174,P174)</f>
        <v>1.37395101449367</v>
      </c>
    </row>
    <row r="176" customFormat="false" ht="12.75" hidden="false" customHeight="false" outlineLevel="0" collapsed="false">
      <c r="A176" s="1254" t="n">
        <f aca="false">EDATE(A175,1)</f>
        <v>40179</v>
      </c>
      <c r="B176" s="1245" t="n">
        <f aca="false">'[3]Monthly Curve Calc.'!B179</f>
        <v>383.4824093493</v>
      </c>
      <c r="C176" s="1246" t="n">
        <f aca="false">'[3]Monthly Curve Calc.'!C179</f>
        <v>224.373668201941</v>
      </c>
      <c r="D176" s="1246" t="n">
        <f aca="false">'[3]Monthly Curve Calc.'!D179</f>
        <v>176.759010996359</v>
      </c>
      <c r="E176" s="1246" t="n">
        <f aca="false">'[3]Monthly Curve Calc.'!E179</f>
        <v>21.155</v>
      </c>
      <c r="F176" s="1247" t="n">
        <f aca="false">'[3]Monthly Curve Calc.'!F179</f>
        <v>2.59440828709463</v>
      </c>
      <c r="G176" s="1255" t="n">
        <f aca="false">IF(AND($A176&gt;G$16,MONTH($A176)=MONTH(G$16)),B175/B163,G175)</f>
        <v>1.07399906832253</v>
      </c>
      <c r="H176" s="1253" t="n">
        <f aca="false">IF(AND($A176&gt;H$16,MONTH($A176)=MONTH(H$16)),C175/C163,H175)</f>
        <v>1.02627111225796</v>
      </c>
      <c r="I176" s="1253" t="n">
        <f aca="false">IF(AND($A176&gt;I$16,MONTH($A176)=MONTH(I$16)),C175/C163-I$18,I175)</f>
        <v>1.02377111225796</v>
      </c>
      <c r="J176" s="1253" t="n">
        <f aca="false">IF(AND($A176&gt;J$16,MONTH($A176)=MONTH(J$16)),D175/D163,J175)</f>
        <v>1.0195666406934</v>
      </c>
      <c r="K176" s="1253" t="n">
        <f aca="false">IF($A176&gt;=K$16,IF(MONTH($A176)=MONTH(K$16),AVERAGE(E164:E175),K175),K175)</f>
        <v>20.83</v>
      </c>
      <c r="L176" s="1256" t="n">
        <f aca="false">IF($A176&gt;=L$16,IF(MONTH($A176)=MONTH(L$16),AVERAGE(F164:F175),L175),L175)</f>
        <v>2.56028997998376</v>
      </c>
      <c r="M176" s="1215" t="n">
        <f aca="false">M175+1</f>
        <v>164</v>
      </c>
      <c r="N176" s="1252" t="n">
        <f aca="false">HLOOKUP(N$14,Dec_Change,$M176)</f>
        <v>1.02627111225796</v>
      </c>
      <c r="O176" s="1253" t="n">
        <f aca="false">O175</f>
        <v>1.005</v>
      </c>
      <c r="P176" s="1256" t="n">
        <f aca="false">IF(AND($A176&gt;=P$16,MONTH($A176)=MONTH(P$16)),MAX(N176,O176)*P175,P175)</f>
        <v>1.37395101449367</v>
      </c>
    </row>
    <row r="177" customFormat="false" ht="12.75" hidden="false" customHeight="false" outlineLevel="0" collapsed="false">
      <c r="A177" s="1254" t="n">
        <f aca="false">EDATE(A176,1)</f>
        <v>40210</v>
      </c>
      <c r="B177" s="1245" t="n">
        <f aca="false">'[3]Monthly Curve Calc.'!B180</f>
        <v>385.71069344318</v>
      </c>
      <c r="C177" s="1246" t="n">
        <f aca="false">'[3]Monthly Curve Calc.'!C180</f>
        <v>224.846329413979</v>
      </c>
      <c r="D177" s="1246" t="n">
        <f aca="false">'[3]Monthly Curve Calc.'!D180</f>
        <v>177.02995417624</v>
      </c>
      <c r="E177" s="1246" t="n">
        <f aca="false">'[3]Monthly Curve Calc.'!E180</f>
        <v>21.205</v>
      </c>
      <c r="F177" s="1247" t="n">
        <f aca="false">'[3]Monthly Curve Calc.'!F180</f>
        <v>2.59946120881426</v>
      </c>
      <c r="G177" s="1255" t="n">
        <f aca="false">IF(AND($A177&gt;G$16,MONTH($A177)=MONTH(G$16)),B176/B164,G176)</f>
        <v>1.07399906832253</v>
      </c>
      <c r="H177" s="1253" t="n">
        <f aca="false">IF(AND($A177&gt;H$16,MONTH($A177)=MONTH(H$16)),C176/C164,H176)</f>
        <v>1.02627111225796</v>
      </c>
      <c r="I177" s="1253" t="n">
        <f aca="false">IF(AND($A177&gt;I$16,MONTH($A177)=MONTH(I$16)),C176/C164-I$18,I176)</f>
        <v>1.02377111225796</v>
      </c>
      <c r="J177" s="1253" t="n">
        <f aca="false">IF(AND($A177&gt;J$16,MONTH($A177)=MONTH(J$16)),D176/D164,J176)</f>
        <v>1.0195666406934</v>
      </c>
      <c r="K177" s="1253" t="n">
        <f aca="false">IF($A177&gt;=K$16,IF(MONTH($A177)=MONTH(K$16),AVERAGE(E165:E176),K176),K176)</f>
        <v>20.83</v>
      </c>
      <c r="L177" s="1256" t="n">
        <f aca="false">IF($A177&gt;=L$16,IF(MONTH($A177)=MONTH(L$16),AVERAGE(F165:F176),L176),L176)</f>
        <v>2.56028997998376</v>
      </c>
      <c r="M177" s="1215" t="n">
        <f aca="false">M176+1</f>
        <v>165</v>
      </c>
      <c r="N177" s="1252" t="n">
        <f aca="false">HLOOKUP(N$14,Dec_Change,$M177)</f>
        <v>1.02627111225796</v>
      </c>
      <c r="O177" s="1253" t="n">
        <f aca="false">O176</f>
        <v>1.005</v>
      </c>
      <c r="P177" s="1256" t="n">
        <f aca="false">IF(AND($A177&gt;=P$16,MONTH($A177)=MONTH(P$16)),MAX(N177,O177)*P176,P176)</f>
        <v>1.37395101449367</v>
      </c>
    </row>
    <row r="178" customFormat="false" ht="12.75" hidden="false" customHeight="false" outlineLevel="0" collapsed="false">
      <c r="A178" s="1254" t="n">
        <f aca="false">EDATE(A177,1)</f>
        <v>40238</v>
      </c>
      <c r="B178" s="1245" t="n">
        <f aca="false">'[3]Monthly Curve Calc.'!B181</f>
        <v>387.951925327837</v>
      </c>
      <c r="C178" s="1246" t="n">
        <f aca="false">'[3]Monthly Curve Calc.'!C181</f>
        <v>225.319986324948</v>
      </c>
      <c r="D178" s="1246" t="n">
        <f aca="false">'[3]Monthly Curve Calc.'!D181</f>
        <v>177.301312668508</v>
      </c>
      <c r="E178" s="1246" t="n">
        <f aca="false">'[3]Monthly Curve Calc.'!E181</f>
        <v>21.255</v>
      </c>
      <c r="F178" s="1247" t="n">
        <f aca="false">'[3]Monthly Curve Calc.'!F181</f>
        <v>2.60452397170578</v>
      </c>
      <c r="G178" s="1255" t="n">
        <f aca="false">IF(AND($A178&gt;G$16,MONTH($A178)=MONTH(G$16)),B177/B165,G177)</f>
        <v>1.07399906832253</v>
      </c>
      <c r="H178" s="1253" t="n">
        <f aca="false">IF(AND($A178&gt;H$16,MONTH($A178)=MONTH(H$16)),C177/C165,H177)</f>
        <v>1.02627111225796</v>
      </c>
      <c r="I178" s="1253" t="n">
        <f aca="false">IF(AND($A178&gt;I$16,MONTH($A178)=MONTH(I$16)),C177/C165-I$18,I177)</f>
        <v>1.02377111225796</v>
      </c>
      <c r="J178" s="1253" t="n">
        <f aca="false">IF(AND($A178&gt;J$16,MONTH($A178)=MONTH(J$16)),D177/D165,J177)</f>
        <v>1.0195666406934</v>
      </c>
      <c r="K178" s="1253" t="n">
        <f aca="false">IF($A178&gt;=K$16,IF(MONTH($A178)=MONTH(K$16),AVERAGE(E166:E177),K177),K177)</f>
        <v>20.83</v>
      </c>
      <c r="L178" s="1256" t="n">
        <f aca="false">IF($A178&gt;=L$16,IF(MONTH($A178)=MONTH(L$16),AVERAGE(F166:F177),L177),L177)</f>
        <v>2.56028997998376</v>
      </c>
      <c r="M178" s="1215" t="n">
        <f aca="false">M177+1</f>
        <v>166</v>
      </c>
      <c r="N178" s="1252" t="n">
        <f aca="false">HLOOKUP(N$14,Dec_Change,$M178)</f>
        <v>1.02627111225796</v>
      </c>
      <c r="O178" s="1253" t="n">
        <f aca="false">O177</f>
        <v>1.005</v>
      </c>
      <c r="P178" s="1256" t="n">
        <f aca="false">IF(AND($A178&gt;=P$16,MONTH($A178)=MONTH(P$16)),MAX(N178,O178)*P177,P177)</f>
        <v>1.37395101449367</v>
      </c>
    </row>
    <row r="179" customFormat="false" ht="12.75" hidden="false" customHeight="false" outlineLevel="0" collapsed="false">
      <c r="A179" s="1254" t="n">
        <f aca="false">EDATE(A178,1)</f>
        <v>40269</v>
      </c>
      <c r="B179" s="1245" t="n">
        <f aca="false">'[3]Monthly Curve Calc.'!B182</f>
        <v>390.20618023842</v>
      </c>
      <c r="C179" s="1246" t="n">
        <f aca="false">'[3]Monthly Curve Calc.'!C182</f>
        <v>225.794641032367</v>
      </c>
      <c r="D179" s="1246" t="n">
        <f aca="false">'[3]Monthly Curve Calc.'!D182</f>
        <v>177.57308710977</v>
      </c>
      <c r="E179" s="1246" t="n">
        <f aca="false">'[3]Monthly Curve Calc.'!E182</f>
        <v>21.305</v>
      </c>
      <c r="F179" s="1247" t="n">
        <f aca="false">'[3]Monthly Curve Calc.'!F182</f>
        <v>2.60959659493605</v>
      </c>
      <c r="G179" s="1255" t="n">
        <f aca="false">IF(AND($A179&gt;G$16,MONTH($A179)=MONTH(G$16)),B178/B166,G178)</f>
        <v>1.07399906832253</v>
      </c>
      <c r="H179" s="1253" t="n">
        <f aca="false">IF(AND($A179&gt;H$16,MONTH($A179)=MONTH(H$16)),C178/C166,H178)</f>
        <v>1.02627111225796</v>
      </c>
      <c r="I179" s="1253" t="n">
        <f aca="false">IF(AND($A179&gt;I$16,MONTH($A179)=MONTH(I$16)),C178/C166-I$18,I178)</f>
        <v>1.02377111225796</v>
      </c>
      <c r="J179" s="1253" t="n">
        <f aca="false">IF(AND($A179&gt;J$16,MONTH($A179)=MONTH(J$16)),D178/D166,J178)</f>
        <v>1.0195666406934</v>
      </c>
      <c r="K179" s="1253" t="n">
        <f aca="false">IF($A179&gt;=K$16,IF(MONTH($A179)=MONTH(K$16),AVERAGE(E167:E178),K178),K178)</f>
        <v>20.83</v>
      </c>
      <c r="L179" s="1256" t="n">
        <f aca="false">IF($A179&gt;=L$16,IF(MONTH($A179)=MONTH(L$16),AVERAGE(F167:F178),L178),L178)</f>
        <v>2.56028997998376</v>
      </c>
      <c r="M179" s="1215" t="n">
        <f aca="false">M178+1</f>
        <v>167</v>
      </c>
      <c r="N179" s="1252" t="n">
        <f aca="false">HLOOKUP(N$14,Dec_Change,$M179)</f>
        <v>1.02627111225796</v>
      </c>
      <c r="O179" s="1253" t="n">
        <f aca="false">O178</f>
        <v>1.005</v>
      </c>
      <c r="P179" s="1256" t="n">
        <f aca="false">IF(AND($A179&gt;=P$16,MONTH($A179)=MONTH(P$16)),MAX(N179,O179)*P178,P178)</f>
        <v>1.37395101449367</v>
      </c>
    </row>
    <row r="180" customFormat="false" ht="12.75" hidden="false" customHeight="false" outlineLevel="0" collapsed="false">
      <c r="A180" s="1254" t="n">
        <f aca="false">EDATE(A179,1)</f>
        <v>40299</v>
      </c>
      <c r="B180" s="1245" t="n">
        <f aca="false">'[3]Monthly Curve Calc.'!B183</f>
        <v>392.473533847245</v>
      </c>
      <c r="C180" s="1246" t="n">
        <f aca="false">'[3]Monthly Curve Calc.'!C183</f>
        <v>226.270295638174</v>
      </c>
      <c r="D180" s="1246" t="n">
        <f aca="false">'[3]Monthly Curve Calc.'!D183</f>
        <v>177.845278137609</v>
      </c>
      <c r="E180" s="1246" t="n">
        <f aca="false">'[3]Monthly Curve Calc.'!E183</f>
        <v>21.355</v>
      </c>
      <c r="F180" s="1247" t="n">
        <f aca="false">'[3]Monthly Curve Calc.'!F183</f>
        <v>2.61467909770927</v>
      </c>
      <c r="G180" s="1255" t="n">
        <f aca="false">IF(AND($A180&gt;G$16,MONTH($A180)=MONTH(G$16)),B179/B167,G179)</f>
        <v>1.072</v>
      </c>
      <c r="H180" s="1253" t="n">
        <f aca="false">IF(AND($A180&gt;H$16,MONTH($A180)=MONTH(H$16)),C179/C167,H179)</f>
        <v>1.02584056725748</v>
      </c>
      <c r="I180" s="1253" t="n">
        <f aca="false">IF(AND($A180&gt;I$16,MONTH($A180)=MONTH(I$16)),C179/C167-I$18,I179)</f>
        <v>1.02334056725748</v>
      </c>
      <c r="J180" s="1253" t="n">
        <f aca="false">IF(AND($A180&gt;J$16,MONTH($A180)=MONTH(J$16)),D179/D167,J179)</f>
        <v>1.0195666406934</v>
      </c>
      <c r="K180" s="1253" t="n">
        <f aca="false">IF($A180&gt;=K$16,IF(MONTH($A180)=MONTH(K$16),AVERAGE(E168:E179),K179),K179)</f>
        <v>20.83</v>
      </c>
      <c r="L180" s="1256" t="n">
        <f aca="false">IF($A180&gt;=L$16,IF(MONTH($A180)=MONTH(L$16),AVERAGE(F168:F179),L179),L179)</f>
        <v>2.56028997998376</v>
      </c>
      <c r="M180" s="1215" t="n">
        <f aca="false">M179+1</f>
        <v>168</v>
      </c>
      <c r="N180" s="1252" t="n">
        <f aca="false">HLOOKUP(N$14,Dec_Change,$M180)</f>
        <v>1.02584056725748</v>
      </c>
      <c r="O180" s="1253" t="n">
        <f aca="false">O179</f>
        <v>1.005</v>
      </c>
      <c r="P180" s="1256" t="n">
        <f aca="false">IF(AND($A180&gt;=P$16,MONTH($A180)=MONTH(P$16)),MAX(N180,O180)*P179,P179)</f>
        <v>1.40945468809218</v>
      </c>
    </row>
    <row r="181" customFormat="false" ht="12.75" hidden="false" customHeight="false" outlineLevel="0" collapsed="false">
      <c r="A181" s="1254" t="n">
        <f aca="false">EDATE(A180,1)</f>
        <v>40330</v>
      </c>
      <c r="B181" s="1245" t="n">
        <f aca="false">'[3]Monthly Curve Calc.'!B184</f>
        <v>394.754062266331</v>
      </c>
      <c r="C181" s="1246" t="n">
        <f aca="false">'[3]Monthly Curve Calc.'!C184</f>
        <v>226.746952248737</v>
      </c>
      <c r="D181" s="1246" t="n">
        <f aca="false">'[3]Monthly Curve Calc.'!D184</f>
        <v>178.117886390586</v>
      </c>
      <c r="E181" s="1246" t="n">
        <f aca="false">'[3]Monthly Curve Calc.'!E184</f>
        <v>21.405</v>
      </c>
      <c r="F181" s="1247" t="n">
        <f aca="false">'[3]Monthly Curve Calc.'!F184</f>
        <v>2.61977149926703</v>
      </c>
      <c r="G181" s="1255" t="n">
        <f aca="false">IF(AND($A181&gt;G$16,MONTH($A181)=MONTH(G$16)),B180/B168,G180)</f>
        <v>1.072</v>
      </c>
      <c r="H181" s="1253" t="n">
        <f aca="false">IF(AND($A181&gt;H$16,MONTH($A181)=MONTH(H$16)),C180/C168,H180)</f>
        <v>1.02584056725748</v>
      </c>
      <c r="I181" s="1253" t="n">
        <f aca="false">IF(AND($A181&gt;I$16,MONTH($A181)=MONTH(I$16)),C180/C168-I$18,I180)</f>
        <v>1.02334056725748</v>
      </c>
      <c r="J181" s="1253" t="n">
        <f aca="false">IF(AND($A181&gt;J$16,MONTH($A181)=MONTH(J$16)),D180/D168,J180)</f>
        <v>1.0195666406934</v>
      </c>
      <c r="K181" s="1253" t="n">
        <f aca="false">IF($A181&gt;=K$16,IF(MONTH($A181)=MONTH(K$16),AVERAGE(E169:E180),K180),K180)</f>
        <v>20.83</v>
      </c>
      <c r="L181" s="1256" t="n">
        <f aca="false">IF($A181&gt;=L$16,IF(MONTH($A181)=MONTH(L$16),AVERAGE(F169:F180),L180),L180)</f>
        <v>2.56028997998376</v>
      </c>
      <c r="M181" s="1215" t="n">
        <f aca="false">M180+1</f>
        <v>169</v>
      </c>
      <c r="N181" s="1252" t="n">
        <f aca="false">HLOOKUP(N$14,Dec_Change,$M181)</f>
        <v>1.02584056725748</v>
      </c>
      <c r="O181" s="1253" t="n">
        <f aca="false">O180</f>
        <v>1.005</v>
      </c>
      <c r="P181" s="1256" t="n">
        <f aca="false">IF(AND($A181&gt;=P$16,MONTH($A181)=MONTH(P$16)),MAX(N181,O181)*P180,P180)</f>
        <v>1.40945468809218</v>
      </c>
    </row>
    <row r="182" customFormat="false" ht="12.75" hidden="false" customHeight="false" outlineLevel="0" collapsed="false">
      <c r="A182" s="1254" t="n">
        <f aca="false">EDATE(A181,1)</f>
        <v>40360</v>
      </c>
      <c r="B182" s="1245" t="n">
        <f aca="false">'[3]Monthly Curve Calc.'!B185</f>
        <v>397.047842049959</v>
      </c>
      <c r="C182" s="1246" t="n">
        <f aca="false">'[3]Monthly Curve Calc.'!C185</f>
        <v>227.224612974859</v>
      </c>
      <c r="D182" s="1246" t="n">
        <f aca="false">'[3]Monthly Curve Calc.'!D185</f>
        <v>178.390912508238</v>
      </c>
      <c r="E182" s="1246" t="n">
        <f aca="false">'[3]Monthly Curve Calc.'!E185</f>
        <v>21.455</v>
      </c>
      <c r="F182" s="1247" t="n">
        <f aca="false">'[3]Monthly Curve Calc.'!F185</f>
        <v>2.62487381888841</v>
      </c>
      <c r="G182" s="1255" t="n">
        <f aca="false">IF(AND($A182&gt;G$16,MONTH($A182)=MONTH(G$16)),B181/B169,G181)</f>
        <v>1.072</v>
      </c>
      <c r="H182" s="1253" t="n">
        <f aca="false">IF(AND($A182&gt;H$16,MONTH($A182)=MONTH(H$16)),C181/C169,H181)</f>
        <v>1.02584056725748</v>
      </c>
      <c r="I182" s="1253" t="n">
        <f aca="false">IF(AND($A182&gt;I$16,MONTH($A182)=MONTH(I$16)),C181/C169-I$18,I181)</f>
        <v>1.02334056725748</v>
      </c>
      <c r="J182" s="1253" t="n">
        <f aca="false">IF(AND($A182&gt;J$16,MONTH($A182)=MONTH(J$16)),D181/D169,J181)</f>
        <v>1.0195666406934</v>
      </c>
      <c r="K182" s="1253" t="n">
        <f aca="false">IF($A182&gt;=K$16,IF(MONTH($A182)=MONTH(K$16),AVERAGE(E170:E181),K181),K181)</f>
        <v>20.83</v>
      </c>
      <c r="L182" s="1256" t="n">
        <f aca="false">IF($A182&gt;=L$16,IF(MONTH($A182)=MONTH(L$16),AVERAGE(F170:F181),L181),L181)</f>
        <v>2.56028997998376</v>
      </c>
      <c r="M182" s="1215" t="n">
        <f aca="false">M181+1</f>
        <v>170</v>
      </c>
      <c r="N182" s="1252" t="n">
        <f aca="false">HLOOKUP(N$14,Dec_Change,$M182)</f>
        <v>1.02584056725748</v>
      </c>
      <c r="O182" s="1253" t="n">
        <f aca="false">O181</f>
        <v>1.005</v>
      </c>
      <c r="P182" s="1256" t="n">
        <f aca="false">IF(AND($A182&gt;=P$16,MONTH($A182)=MONTH(P$16)),MAX(N182,O182)*P181,P181)</f>
        <v>1.40945468809218</v>
      </c>
    </row>
    <row r="183" customFormat="false" ht="12.75" hidden="false" customHeight="false" outlineLevel="0" collapsed="false">
      <c r="A183" s="1254" t="n">
        <f aca="false">EDATE(A182,1)</f>
        <v>40391</v>
      </c>
      <c r="B183" s="1245" t="n">
        <f aca="false">'[3]Monthly Curve Calc.'!B186</f>
        <v>399.354950197241</v>
      </c>
      <c r="C183" s="1246" t="n">
        <f aca="false">'[3]Monthly Curve Calc.'!C186</f>
        <v>227.70327993179</v>
      </c>
      <c r="D183" s="1246" t="n">
        <f aca="false">'[3]Monthly Curve Calc.'!D186</f>
        <v>178.664357131087</v>
      </c>
      <c r="E183" s="1246" t="n">
        <f aca="false">'[3]Monthly Curve Calc.'!E186</f>
        <v>21.505</v>
      </c>
      <c r="F183" s="1247" t="n">
        <f aca="false">'[3]Monthly Curve Calc.'!F186</f>
        <v>2.62998607589002</v>
      </c>
      <c r="G183" s="1255" t="n">
        <f aca="false">IF(AND($A183&gt;G$16,MONTH($A183)=MONTH(G$16)),B182/B170,G182)</f>
        <v>1.072</v>
      </c>
      <c r="H183" s="1253" t="n">
        <f aca="false">IF(AND($A183&gt;H$16,MONTH($A183)=MONTH(H$16)),C182/C170,H182)</f>
        <v>1.02584056725748</v>
      </c>
      <c r="I183" s="1253" t="n">
        <f aca="false">IF(AND($A183&gt;I$16,MONTH($A183)=MONTH(I$16)),C182/C170-I$18,I182)</f>
        <v>1.02334056725748</v>
      </c>
      <c r="J183" s="1253" t="n">
        <f aca="false">IF(AND($A183&gt;J$16,MONTH($A183)=MONTH(J$16)),D182/D170,J182)</f>
        <v>1.0195666406934</v>
      </c>
      <c r="K183" s="1253" t="n">
        <f aca="false">IF($A183&gt;=K$16,IF(MONTH($A183)=MONTH(K$16),AVERAGE(E171:E182),K182),K182)</f>
        <v>20.83</v>
      </c>
      <c r="L183" s="1256" t="n">
        <f aca="false">IF($A183&gt;=L$16,IF(MONTH($A183)=MONTH(L$16),AVERAGE(F171:F182),L182),L182)</f>
        <v>2.56028997998376</v>
      </c>
      <c r="M183" s="1215" t="n">
        <f aca="false">M182+1</f>
        <v>171</v>
      </c>
      <c r="N183" s="1252" t="n">
        <f aca="false">HLOOKUP(N$14,Dec_Change,$M183)</f>
        <v>1.02584056725748</v>
      </c>
      <c r="O183" s="1253" t="n">
        <f aca="false">O182</f>
        <v>1.005</v>
      </c>
      <c r="P183" s="1256" t="n">
        <f aca="false">IF(AND($A183&gt;=P$16,MONTH($A183)=MONTH(P$16)),MAX(N183,O183)*P182,P182)</f>
        <v>1.40945468809218</v>
      </c>
    </row>
    <row r="184" customFormat="false" ht="12.75" hidden="false" customHeight="false" outlineLevel="0" collapsed="false">
      <c r="A184" s="1254" t="n">
        <f aca="false">EDATE(A183,1)</f>
        <v>40422</v>
      </c>
      <c r="B184" s="1245" t="n">
        <f aca="false">'[3]Monthly Curve Calc.'!B187</f>
        <v>401.675464154704</v>
      </c>
      <c r="C184" s="1246" t="n">
        <f aca="false">'[3]Monthly Curve Calc.'!C187</f>
        <v>228.182955239237</v>
      </c>
      <c r="D184" s="1246" t="n">
        <f aca="false">'[3]Monthly Curve Calc.'!D187</f>
        <v>178.938220900632</v>
      </c>
      <c r="E184" s="1246" t="n">
        <f aca="false">'[3]Monthly Curve Calc.'!E187</f>
        <v>21.555</v>
      </c>
      <c r="F184" s="1247" t="n">
        <f aca="false">'[3]Monthly Curve Calc.'!F187</f>
        <v>2.63510828962611</v>
      </c>
      <c r="G184" s="1255" t="n">
        <f aca="false">IF(AND($A184&gt;G$16,MONTH($A184)=MONTH(G$16)),B183/B171,G183)</f>
        <v>1.072</v>
      </c>
      <c r="H184" s="1253" t="n">
        <f aca="false">IF(AND($A184&gt;H$16,MONTH($A184)=MONTH(H$16)),C183/C171,H183)</f>
        <v>1.02584056725748</v>
      </c>
      <c r="I184" s="1253" t="n">
        <f aca="false">IF(AND($A184&gt;I$16,MONTH($A184)=MONTH(I$16)),C183/C171-I$18,I183)</f>
        <v>1.02334056725748</v>
      </c>
      <c r="J184" s="1253" t="n">
        <f aca="false">IF(AND($A184&gt;J$16,MONTH($A184)=MONTH(J$16)),D183/D171,J183)</f>
        <v>1.0195666406934</v>
      </c>
      <c r="K184" s="1253" t="n">
        <f aca="false">IF($A184&gt;=K$16,IF(MONTH($A184)=MONTH(K$16),AVERAGE(E172:E183),K183),K183)</f>
        <v>20.83</v>
      </c>
      <c r="L184" s="1256" t="n">
        <f aca="false">IF($A184&gt;=L$16,IF(MONTH($A184)=MONTH(L$16),AVERAGE(F172:F183),L183),L183)</f>
        <v>2.56028997998376</v>
      </c>
      <c r="M184" s="1215" t="n">
        <f aca="false">M183+1</f>
        <v>172</v>
      </c>
      <c r="N184" s="1252" t="n">
        <f aca="false">HLOOKUP(N$14,Dec_Change,$M184)</f>
        <v>1.02584056725748</v>
      </c>
      <c r="O184" s="1253" t="n">
        <f aca="false">O183</f>
        <v>1.005</v>
      </c>
      <c r="P184" s="1256" t="n">
        <f aca="false">IF(AND($A184&gt;=P$16,MONTH($A184)=MONTH(P$16)),MAX(N184,O184)*P183,P183)</f>
        <v>1.40945468809218</v>
      </c>
    </row>
    <row r="185" customFormat="false" ht="12.75" hidden="false" customHeight="false" outlineLevel="0" collapsed="false">
      <c r="A185" s="1254" t="n">
        <f aca="false">EDATE(A184,1)</f>
        <v>40452</v>
      </c>
      <c r="B185" s="1245" t="n">
        <f aca="false">'[3]Monthly Curve Calc.'!B188</f>
        <v>404.00946181889</v>
      </c>
      <c r="C185" s="1246" t="n">
        <f aca="false">'[3]Monthly Curve Calc.'!C188</f>
        <v>228.663641021371</v>
      </c>
      <c r="D185" s="1246" t="n">
        <f aca="false">'[3]Monthly Curve Calc.'!D188</f>
        <v>179.212504459359</v>
      </c>
      <c r="E185" s="1246" t="n">
        <f aca="false">'[3]Monthly Curve Calc.'!E188</f>
        <v>21.605</v>
      </c>
      <c r="F185" s="1247" t="n">
        <f aca="false">'[3]Monthly Curve Calc.'!F188</f>
        <v>2.64024047948862</v>
      </c>
      <c r="G185" s="1255" t="n">
        <f aca="false">IF(AND($A185&gt;G$16,MONTH($A185)=MONTH(G$16)),B184/B172,G184)</f>
        <v>1.072</v>
      </c>
      <c r="H185" s="1253" t="n">
        <f aca="false">IF(AND($A185&gt;H$16,MONTH($A185)=MONTH(H$16)),C184/C172,H184)</f>
        <v>1.02584056725748</v>
      </c>
      <c r="I185" s="1253" t="n">
        <f aca="false">IF(AND($A185&gt;I$16,MONTH($A185)=MONTH(I$16)),C184/C172-I$18,I184)</f>
        <v>1.02334056725748</v>
      </c>
      <c r="J185" s="1253" t="n">
        <f aca="false">IF(AND($A185&gt;J$16,MONTH($A185)=MONTH(J$16)),D184/D172,J184)</f>
        <v>1.0195666406934</v>
      </c>
      <c r="K185" s="1253" t="n">
        <f aca="false">IF($A185&gt;=K$16,IF(MONTH($A185)=MONTH(K$16),AVERAGE(E173:E184),K184),K184)</f>
        <v>20.83</v>
      </c>
      <c r="L185" s="1256" t="n">
        <f aca="false">IF($A185&gt;=L$16,IF(MONTH($A185)=MONTH(L$16),AVERAGE(F173:F184),L184),L184)</f>
        <v>2.56028997998376</v>
      </c>
      <c r="M185" s="1215" t="n">
        <f aca="false">M184+1</f>
        <v>173</v>
      </c>
      <c r="N185" s="1252" t="n">
        <f aca="false">HLOOKUP(N$14,Dec_Change,$M185)</f>
        <v>1.02584056725748</v>
      </c>
      <c r="O185" s="1253" t="n">
        <f aca="false">O184</f>
        <v>1.005</v>
      </c>
      <c r="P185" s="1256" t="n">
        <f aca="false">IF(AND($A185&gt;=P$16,MONTH($A185)=MONTH(P$16)),MAX(N185,O185)*P184,P184)</f>
        <v>1.40945468809218</v>
      </c>
    </row>
    <row r="186" customFormat="false" ht="12.75" hidden="false" customHeight="false" outlineLevel="0" collapsed="false">
      <c r="A186" s="1254" t="n">
        <f aca="false">EDATE(A185,1)</f>
        <v>40483</v>
      </c>
      <c r="B186" s="1245" t="n">
        <f aca="false">'[3]Monthly Curve Calc.'!B189</f>
        <v>406.357021538971</v>
      </c>
      <c r="C186" s="1246" t="n">
        <f aca="false">'[3]Monthly Curve Calc.'!C189</f>
        <v>229.145339406839</v>
      </c>
      <c r="D186" s="1246" t="n">
        <f aca="false">'[3]Monthly Curve Calc.'!D189</f>
        <v>179.487208450737</v>
      </c>
      <c r="E186" s="1246" t="n">
        <f aca="false">'[3]Monthly Curve Calc.'!E189</f>
        <v>21.655</v>
      </c>
      <c r="F186" s="1247" t="n">
        <f aca="false">'[3]Monthly Curve Calc.'!F189</f>
        <v>2.64538266490724</v>
      </c>
      <c r="G186" s="1255" t="n">
        <f aca="false">IF(AND($A186&gt;G$16,MONTH($A186)=MONTH(G$16)),B185/B173,G185)</f>
        <v>1.072</v>
      </c>
      <c r="H186" s="1253" t="n">
        <f aca="false">IF(AND($A186&gt;H$16,MONTH($A186)=MONTH(H$16)),C185/C173,H185)</f>
        <v>1.02584056725748</v>
      </c>
      <c r="I186" s="1253" t="n">
        <f aca="false">IF(AND($A186&gt;I$16,MONTH($A186)=MONTH(I$16)),C185/C173-I$18,I185)</f>
        <v>1.02334056725748</v>
      </c>
      <c r="J186" s="1253" t="n">
        <f aca="false">IF(AND($A186&gt;J$16,MONTH($A186)=MONTH(J$16)),D185/D173,J185)</f>
        <v>1.0195666406934</v>
      </c>
      <c r="K186" s="1253" t="n">
        <f aca="false">IF($A186&gt;=K$16,IF(MONTH($A186)=MONTH(K$16),AVERAGE(E174:E185),K185),K185)</f>
        <v>20.83</v>
      </c>
      <c r="L186" s="1256" t="n">
        <f aca="false">IF($A186&gt;=L$16,IF(MONTH($A186)=MONTH(L$16),AVERAGE(F174:F185),L185),L185)</f>
        <v>2.56028997998376</v>
      </c>
      <c r="M186" s="1215" t="n">
        <f aca="false">M185+1</f>
        <v>174</v>
      </c>
      <c r="N186" s="1252" t="n">
        <f aca="false">HLOOKUP(N$14,Dec_Change,$M186)</f>
        <v>1.02584056725748</v>
      </c>
      <c r="O186" s="1253" t="n">
        <f aca="false">O185</f>
        <v>1.005</v>
      </c>
      <c r="P186" s="1256" t="n">
        <f aca="false">IF(AND($A186&gt;=P$16,MONTH($A186)=MONTH(P$16)),MAX(N186,O186)*P185,P185)</f>
        <v>1.40945468809218</v>
      </c>
    </row>
    <row r="187" customFormat="false" ht="12.75" hidden="false" customHeight="false" outlineLevel="0" collapsed="false">
      <c r="A187" s="1254" t="n">
        <f aca="false">EDATE(A186,1)</f>
        <v>40513</v>
      </c>
      <c r="B187" s="1245" t="n">
        <f aca="false">'[3]Monthly Curve Calc.'!B190</f>
        <v>408.718222119378</v>
      </c>
      <c r="C187" s="1246" t="n">
        <f aca="false">'[3]Monthly Curve Calc.'!C190</f>
        <v>229.62805252877</v>
      </c>
      <c r="D187" s="1246" t="n">
        <f aca="false">'[3]Monthly Curve Calc.'!D190</f>
        <v>179.762333519222</v>
      </c>
      <c r="E187" s="1246" t="n">
        <f aca="false">'[3]Monthly Curve Calc.'!E190</f>
        <v>21.705</v>
      </c>
      <c r="F187" s="1247" t="n">
        <f aca="false">'[3]Monthly Curve Calc.'!F190</f>
        <v>2.65053486534952</v>
      </c>
      <c r="G187" s="1255" t="n">
        <f aca="false">IF(AND($A187&gt;G$16,MONTH($A187)=MONTH(G$16)),B186/B174,G186)</f>
        <v>1.072</v>
      </c>
      <c r="H187" s="1253" t="n">
        <f aca="false">IF(AND($A187&gt;H$16,MONTH($A187)=MONTH(H$16)),C186/C174,H186)</f>
        <v>1.02584056725748</v>
      </c>
      <c r="I187" s="1253" t="n">
        <f aca="false">IF(AND($A187&gt;I$16,MONTH($A187)=MONTH(I$16)),C186/C174-I$18,I186)</f>
        <v>1.02334056725748</v>
      </c>
      <c r="J187" s="1253" t="n">
        <f aca="false">IF(AND($A187&gt;J$16,MONTH($A187)=MONTH(J$16)),D186/D174,J186)</f>
        <v>1.0195666406934</v>
      </c>
      <c r="K187" s="1253" t="n">
        <f aca="false">IF($A187&gt;=K$16,IF(MONTH($A187)=MONTH(K$16),AVERAGE(E175:E186),K186),K186)</f>
        <v>20.83</v>
      </c>
      <c r="L187" s="1256" t="n">
        <f aca="false">IF($A187&gt;=L$16,IF(MONTH($A187)=MONTH(L$16),AVERAGE(F175:F186),L186),L186)</f>
        <v>2.56028997998376</v>
      </c>
      <c r="M187" s="1215" t="n">
        <f aca="false">M186+1</f>
        <v>175</v>
      </c>
      <c r="N187" s="1252" t="n">
        <f aca="false">HLOOKUP(N$14,Dec_Change,$M187)</f>
        <v>1.02584056725748</v>
      </c>
      <c r="O187" s="1253" t="n">
        <f aca="false">O186</f>
        <v>1.005</v>
      </c>
      <c r="P187" s="1256" t="n">
        <f aca="false">IF(AND($A187&gt;=P$16,MONTH($A187)=MONTH(P$16)),MAX(N187,O187)*P186,P186)</f>
        <v>1.40945468809218</v>
      </c>
    </row>
    <row r="188" customFormat="false" ht="12.75" hidden="false" customHeight="false" outlineLevel="0" collapsed="false">
      <c r="A188" s="1254" t="n">
        <f aca="false">EDATE(A187,1)</f>
        <v>40544</v>
      </c>
      <c r="B188" s="1245" t="n">
        <f aca="false">'[3]Monthly Curve Calc.'!B191</f>
        <v>411.09314282245</v>
      </c>
      <c r="C188" s="1246" t="n">
        <f aca="false">'[3]Monthly Curve Calc.'!C191</f>
        <v>230.106328427722</v>
      </c>
      <c r="D188" s="1246" t="n">
        <f aca="false">'[3]Monthly Curve Calc.'!D191</f>
        <v>180.020993707922</v>
      </c>
      <c r="E188" s="1246" t="n">
        <f aca="false">'[3]Monthly Curve Calc.'!E191</f>
        <v>21.755</v>
      </c>
      <c r="F188" s="1247" t="n">
        <f aca="false">'[3]Monthly Curve Calc.'!F191</f>
        <v>2.65513335215341</v>
      </c>
      <c r="G188" s="1255" t="n">
        <f aca="false">IF(AND($A188&gt;G$16,MONTH($A188)=MONTH(G$16)),B187/B175,G187)</f>
        <v>1.072</v>
      </c>
      <c r="H188" s="1253" t="n">
        <f aca="false">IF(AND($A188&gt;H$16,MONTH($A188)=MONTH(H$16)),C187/C175,H187)</f>
        <v>1.02584056725748</v>
      </c>
      <c r="I188" s="1253" t="n">
        <f aca="false">IF(AND($A188&gt;I$16,MONTH($A188)=MONTH(I$16)),C187/C175-I$18,I187)</f>
        <v>1.02334056725748</v>
      </c>
      <c r="J188" s="1253" t="n">
        <f aca="false">IF(AND($A188&gt;J$16,MONTH($A188)=MONTH(J$16)),D187/D175,J187)</f>
        <v>1.0185499415018</v>
      </c>
      <c r="K188" s="1253" t="n">
        <f aca="false">IF($A188&gt;=K$16,IF(MONTH($A188)=MONTH(K$16),AVERAGE(E176:E187),K187),K187)</f>
        <v>21.43</v>
      </c>
      <c r="L188" s="1256" t="n">
        <f aca="false">IF($A188&gt;=L$16,IF(MONTH($A188)=MONTH(L$16),AVERAGE(F176:F187),L187),L187)</f>
        <v>2.62238057113975</v>
      </c>
      <c r="M188" s="1215" t="n">
        <f aca="false">M187+1</f>
        <v>176</v>
      </c>
      <c r="N188" s="1252" t="n">
        <f aca="false">HLOOKUP(N$14,Dec_Change,$M188)</f>
        <v>1.02584056725748</v>
      </c>
      <c r="O188" s="1253" t="n">
        <f aca="false">O187</f>
        <v>1.005</v>
      </c>
      <c r="P188" s="1256" t="n">
        <f aca="false">IF(AND($A188&gt;=P$16,MONTH($A188)=MONTH(P$16)),MAX(N188,O188)*P187,P187)</f>
        <v>1.40945468809218</v>
      </c>
    </row>
    <row r="189" customFormat="false" ht="12.75" hidden="false" customHeight="false" outlineLevel="0" collapsed="false">
      <c r="A189" s="1254" t="n">
        <f aca="false">EDATE(A188,1)</f>
        <v>40575</v>
      </c>
      <c r="B189" s="1245" t="n">
        <f aca="false">'[3]Monthly Curve Calc.'!B192</f>
        <v>413.481863371089</v>
      </c>
      <c r="C189" s="1246" t="n">
        <f aca="false">'[3]Monthly Curve Calc.'!C192</f>
        <v>230.585600493445</v>
      </c>
      <c r="D189" s="1246" t="n">
        <f aca="false">'[3]Monthly Curve Calc.'!D192</f>
        <v>180.280026083008</v>
      </c>
      <c r="E189" s="1246" t="n">
        <f aca="false">'[3]Monthly Curve Calc.'!E192</f>
        <v>21.805</v>
      </c>
      <c r="F189" s="1247" t="n">
        <f aca="false">'[3]Monthly Curve Calc.'!F192</f>
        <v>2.6597398170002</v>
      </c>
      <c r="G189" s="1255" t="n">
        <f aca="false">IF(AND($A189&gt;G$16,MONTH($A189)=MONTH(G$16)),B188/B176,G188)</f>
        <v>1.072</v>
      </c>
      <c r="H189" s="1253" t="n">
        <f aca="false">IF(AND($A189&gt;H$16,MONTH($A189)=MONTH(H$16)),C188/C176,H188)</f>
        <v>1.02584056725748</v>
      </c>
      <c r="I189" s="1253" t="n">
        <f aca="false">IF(AND($A189&gt;I$16,MONTH($A189)=MONTH(I$16)),C188/C176-I$18,I188)</f>
        <v>1.02334056725748</v>
      </c>
      <c r="J189" s="1253" t="n">
        <f aca="false">IF(AND($A189&gt;J$16,MONTH($A189)=MONTH(J$16)),D188/D176,J188)</f>
        <v>1.0185499415018</v>
      </c>
      <c r="K189" s="1253" t="n">
        <f aca="false">IF($A189&gt;=K$16,IF(MONTH($A189)=MONTH(K$16),AVERAGE(E177:E188),K188),K188)</f>
        <v>21.43</v>
      </c>
      <c r="L189" s="1256" t="n">
        <f aca="false">IF($A189&gt;=L$16,IF(MONTH($A189)=MONTH(L$16),AVERAGE(F177:F188),L188),L188)</f>
        <v>2.62238057113975</v>
      </c>
      <c r="M189" s="1215" t="n">
        <f aca="false">M188+1</f>
        <v>177</v>
      </c>
      <c r="N189" s="1252" t="n">
        <f aca="false">HLOOKUP(N$14,Dec_Change,$M189)</f>
        <v>1.02584056725748</v>
      </c>
      <c r="O189" s="1253" t="n">
        <f aca="false">O188</f>
        <v>1.005</v>
      </c>
      <c r="P189" s="1256" t="n">
        <f aca="false">IF(AND($A189&gt;=P$16,MONTH($A189)=MONTH(P$16)),MAX(N189,O189)*P188,P188)</f>
        <v>1.40945468809218</v>
      </c>
    </row>
    <row r="190" customFormat="false" ht="12.75" hidden="false" customHeight="false" outlineLevel="0" collapsed="false">
      <c r="A190" s="1254" t="n">
        <f aca="false">EDATE(A189,1)</f>
        <v>40603</v>
      </c>
      <c r="B190" s="1245" t="n">
        <f aca="false">'[3]Monthly Curve Calc.'!B193</f>
        <v>415.884463951441</v>
      </c>
      <c r="C190" s="1246" t="n">
        <f aca="false">'[3]Monthly Curve Calc.'!C193</f>
        <v>231.065870800783</v>
      </c>
      <c r="D190" s="1246" t="n">
        <f aca="false">'[3]Monthly Curve Calc.'!D193</f>
        <v>180.539431180018</v>
      </c>
      <c r="E190" s="1246" t="n">
        <f aca="false">'[3]Monthly Curve Calc.'!E193</f>
        <v>21.855</v>
      </c>
      <c r="F190" s="1247" t="n">
        <f aca="false">'[3]Monthly Curve Calc.'!F193</f>
        <v>2.66435427373123</v>
      </c>
      <c r="G190" s="1255" t="n">
        <f aca="false">IF(AND($A190&gt;G$16,MONTH($A190)=MONTH(G$16)),B189/B177,G189)</f>
        <v>1.072</v>
      </c>
      <c r="H190" s="1253" t="n">
        <f aca="false">IF(AND($A190&gt;H$16,MONTH($A190)=MONTH(H$16)),C189/C177,H189)</f>
        <v>1.02584056725748</v>
      </c>
      <c r="I190" s="1253" t="n">
        <f aca="false">IF(AND($A190&gt;I$16,MONTH($A190)=MONTH(I$16)),C189/C177-I$18,I189)</f>
        <v>1.02334056725748</v>
      </c>
      <c r="J190" s="1253" t="n">
        <f aca="false">IF(AND($A190&gt;J$16,MONTH($A190)=MONTH(J$16)),D189/D177,J189)</f>
        <v>1.0185499415018</v>
      </c>
      <c r="K190" s="1253" t="n">
        <f aca="false">IF($A190&gt;=K$16,IF(MONTH($A190)=MONTH(K$16),AVERAGE(E178:E189),K189),K189)</f>
        <v>21.43</v>
      </c>
      <c r="L190" s="1256" t="n">
        <f aca="false">IF($A190&gt;=L$16,IF(MONTH($A190)=MONTH(L$16),AVERAGE(F178:F189),L189),L189)</f>
        <v>2.62238057113975</v>
      </c>
      <c r="M190" s="1215" t="n">
        <f aca="false">M189+1</f>
        <v>178</v>
      </c>
      <c r="N190" s="1252" t="n">
        <f aca="false">HLOOKUP(N$14,Dec_Change,$M190)</f>
        <v>1.02584056725748</v>
      </c>
      <c r="O190" s="1253" t="n">
        <f aca="false">O189</f>
        <v>1.005</v>
      </c>
      <c r="P190" s="1256" t="n">
        <f aca="false">IF(AND($A190&gt;=P$16,MONTH($A190)=MONTH(P$16)),MAX(N190,O190)*P189,P189)</f>
        <v>1.40945468809218</v>
      </c>
    </row>
    <row r="191" customFormat="false" ht="12.75" hidden="false" customHeight="false" outlineLevel="0" collapsed="false">
      <c r="A191" s="1254" t="n">
        <f aca="false">EDATE(A190,1)</f>
        <v>40634</v>
      </c>
      <c r="B191" s="1245" t="n">
        <f aca="false">'[3]Monthly Curve Calc.'!B194</f>
        <v>418.301025215587</v>
      </c>
      <c r="C191" s="1246" t="n">
        <f aca="false">'[3]Monthly Curve Calc.'!C194</f>
        <v>231.547141428902</v>
      </c>
      <c r="D191" s="1246" t="n">
        <f aca="false">'[3]Monthly Curve Calc.'!D194</f>
        <v>180.799209535264</v>
      </c>
      <c r="E191" s="1246" t="n">
        <f aca="false">'[3]Monthly Curve Calc.'!E194</f>
        <v>21.905</v>
      </c>
      <c r="F191" s="1247" t="n">
        <f aca="false">'[3]Monthly Curve Calc.'!F194</f>
        <v>2.66897673621184</v>
      </c>
      <c r="G191" s="1255" t="n">
        <f aca="false">IF(AND($A191&gt;G$16,MONTH($A191)=MONTH(G$16)),B190/B178,G190)</f>
        <v>1.072</v>
      </c>
      <c r="H191" s="1253" t="n">
        <f aca="false">IF(AND($A191&gt;H$16,MONTH($A191)=MONTH(H$16)),C190/C178,H190)</f>
        <v>1.02584056725748</v>
      </c>
      <c r="I191" s="1253" t="n">
        <f aca="false">IF(AND($A191&gt;I$16,MONTH($A191)=MONTH(I$16)),C190/C178-I$18,I190)</f>
        <v>1.02334056725748</v>
      </c>
      <c r="J191" s="1253" t="n">
        <f aca="false">IF(AND($A191&gt;J$16,MONTH($A191)=MONTH(J$16)),D190/D178,J190)</f>
        <v>1.0185499415018</v>
      </c>
      <c r="K191" s="1253" t="n">
        <f aca="false">IF($A191&gt;=K$16,IF(MONTH($A191)=MONTH(K$16),AVERAGE(E179:E190),K190),K190)</f>
        <v>21.43</v>
      </c>
      <c r="L191" s="1256" t="n">
        <f aca="false">IF($A191&gt;=L$16,IF(MONTH($A191)=MONTH(L$16),AVERAGE(F179:F190),L190),L190)</f>
        <v>2.62238057113975</v>
      </c>
      <c r="M191" s="1215" t="n">
        <f aca="false">M190+1</f>
        <v>179</v>
      </c>
      <c r="N191" s="1252" t="n">
        <f aca="false">HLOOKUP(N$14,Dec_Change,$M191)</f>
        <v>1.02584056725748</v>
      </c>
      <c r="O191" s="1253" t="n">
        <f aca="false">O190</f>
        <v>1.005</v>
      </c>
      <c r="P191" s="1256" t="n">
        <f aca="false">IF(AND($A191&gt;=P$16,MONTH($A191)=MONTH(P$16)),MAX(N191,O191)*P190,P190)</f>
        <v>1.40945468809218</v>
      </c>
    </row>
    <row r="192" customFormat="false" ht="12.75" hidden="false" customHeight="false" outlineLevel="0" collapsed="false">
      <c r="A192" s="1254" t="n">
        <f aca="false">EDATE(A191,1)</f>
        <v>40664</v>
      </c>
      <c r="B192" s="1245" t="n">
        <f aca="false">'[3]Monthly Curve Calc.'!B195</f>
        <v>420.731628284247</v>
      </c>
      <c r="C192" s="1246" t="n">
        <f aca="false">'[3]Monthly Curve Calc.'!C195</f>
        <v>232.0294144613</v>
      </c>
      <c r="D192" s="1246" t="n">
        <f aca="false">'[3]Monthly Curve Calc.'!D195</f>
        <v>181.059361685827</v>
      </c>
      <c r="E192" s="1246" t="n">
        <f aca="false">'[3]Monthly Curve Calc.'!E195</f>
        <v>21.955</v>
      </c>
      <c r="F192" s="1247" t="n">
        <f aca="false">'[3]Monthly Curve Calc.'!F195</f>
        <v>2.67360721833143</v>
      </c>
      <c r="G192" s="1255" t="n">
        <f aca="false">IF(AND($A192&gt;G$16,MONTH($A192)=MONTH(G$16)),B191/B179,G191)</f>
        <v>1.072</v>
      </c>
      <c r="H192" s="1253" t="n">
        <f aca="false">IF(AND($A192&gt;H$16,MONTH($A192)=MONTH(H$16)),C191/C179,H191)</f>
        <v>1.0254766914318</v>
      </c>
      <c r="I192" s="1253" t="n">
        <f aca="false">IF(AND($A192&gt;I$16,MONTH($A192)=MONTH(I$16)),C191/C179-I$18,I191)</f>
        <v>1.0229766914318</v>
      </c>
      <c r="J192" s="1253" t="n">
        <f aca="false">IF(AND($A192&gt;J$16,MONTH($A192)=MONTH(J$16)),D191/D179,J191)</f>
        <v>1.0185499415018</v>
      </c>
      <c r="K192" s="1253" t="n">
        <f aca="false">IF($A192&gt;=K$16,IF(MONTH($A192)=MONTH(K$16),AVERAGE(E180:E191),K191),K191)</f>
        <v>21.43</v>
      </c>
      <c r="L192" s="1256" t="n">
        <f aca="false">IF($A192&gt;=L$16,IF(MONTH($A192)=MONTH(L$16),AVERAGE(F180:F191),L191),L191)</f>
        <v>2.62238057113975</v>
      </c>
      <c r="M192" s="1215" t="n">
        <f aca="false">M191+1</f>
        <v>180</v>
      </c>
      <c r="N192" s="1252" t="n">
        <f aca="false">HLOOKUP(N$14,Dec_Change,$M192)</f>
        <v>1.0254766914318</v>
      </c>
      <c r="O192" s="1253" t="n">
        <f aca="false">O191</f>
        <v>1.005</v>
      </c>
      <c r="P192" s="1256" t="n">
        <f aca="false">IF(AND($A192&gt;=P$16,MONTH($A192)=MONTH(P$16)),MAX(N192,O192)*P191,P191)</f>
        <v>1.44536293026781</v>
      </c>
    </row>
    <row r="193" customFormat="false" ht="12.75" hidden="false" customHeight="false" outlineLevel="0" collapsed="false">
      <c r="A193" s="1254" t="n">
        <f aca="false">EDATE(A192,1)</f>
        <v>40695</v>
      </c>
      <c r="B193" s="1245" t="n">
        <f aca="false">'[3]Monthly Curve Calc.'!B196</f>
        <v>423.176354749506</v>
      </c>
      <c r="C193" s="1246" t="n">
        <f aca="false">'[3]Monthly Curve Calc.'!C196</f>
        <v>232.512691985813</v>
      </c>
      <c r="D193" s="1246" t="n">
        <f aca="false">'[3]Monthly Curve Calc.'!D196</f>
        <v>181.319888169561</v>
      </c>
      <c r="E193" s="1246" t="n">
        <f aca="false">'[3]Monthly Curve Calc.'!E196</f>
        <v>22.005</v>
      </c>
      <c r="F193" s="1247" t="n">
        <f aca="false">'[3]Monthly Curve Calc.'!F196</f>
        <v>2.67824573400349</v>
      </c>
      <c r="G193" s="1255" t="n">
        <f aca="false">IF(AND($A193&gt;G$16,MONTH($A193)=MONTH(G$16)),B192/B180,G192)</f>
        <v>1.072</v>
      </c>
      <c r="H193" s="1253" t="n">
        <f aca="false">IF(AND($A193&gt;H$16,MONTH($A193)=MONTH(H$16)),C192/C180,H192)</f>
        <v>1.0254766914318</v>
      </c>
      <c r="I193" s="1253" t="n">
        <f aca="false">IF(AND($A193&gt;I$16,MONTH($A193)=MONTH(I$16)),C192/C180-I$18,I192)</f>
        <v>1.0229766914318</v>
      </c>
      <c r="J193" s="1253" t="n">
        <f aca="false">IF(AND($A193&gt;J$16,MONTH($A193)=MONTH(J$16)),D192/D180,J192)</f>
        <v>1.0185499415018</v>
      </c>
      <c r="K193" s="1253" t="n">
        <f aca="false">IF($A193&gt;=K$16,IF(MONTH($A193)=MONTH(K$16),AVERAGE(E181:E192),K192),K192)</f>
        <v>21.43</v>
      </c>
      <c r="L193" s="1256" t="n">
        <f aca="false">IF($A193&gt;=L$16,IF(MONTH($A193)=MONTH(L$16),AVERAGE(F181:F192),L192),L192)</f>
        <v>2.62238057113975</v>
      </c>
      <c r="M193" s="1215" t="n">
        <f aca="false">M192+1</f>
        <v>181</v>
      </c>
      <c r="N193" s="1252" t="n">
        <f aca="false">HLOOKUP(N$14,Dec_Change,$M193)</f>
        <v>1.0254766914318</v>
      </c>
      <c r="O193" s="1253" t="n">
        <f aca="false">O192</f>
        <v>1.005</v>
      </c>
      <c r="P193" s="1256" t="n">
        <f aca="false">IF(AND($A193&gt;=P$16,MONTH($A193)=MONTH(P$16)),MAX(N193,O193)*P192,P192)</f>
        <v>1.44536293026781</v>
      </c>
    </row>
    <row r="194" customFormat="false" ht="12.75" hidden="false" customHeight="false" outlineLevel="0" collapsed="false">
      <c r="A194" s="1254" t="n">
        <f aca="false">EDATE(A193,1)</f>
        <v>40725</v>
      </c>
      <c r="B194" s="1245" t="n">
        <f aca="false">'[3]Monthly Curve Calc.'!B197</f>
        <v>425.635286677556</v>
      </c>
      <c r="C194" s="1246" t="n">
        <f aca="false">'[3]Monthly Curve Calc.'!C197</f>
        <v>232.996976094626</v>
      </c>
      <c r="D194" s="1246" t="n">
        <f aca="false">'[3]Monthly Curve Calc.'!D197</f>
        <v>181.580789525094</v>
      </c>
      <c r="E194" s="1246" t="n">
        <f aca="false">'[3]Monthly Curve Calc.'!E197</f>
        <v>22.055</v>
      </c>
      <c r="F194" s="1247" t="n">
        <f aca="false">'[3]Monthly Curve Calc.'!F197</f>
        <v>2.68289229716566</v>
      </c>
      <c r="G194" s="1255" t="n">
        <f aca="false">IF(AND($A194&gt;G$16,MONTH($A194)=MONTH(G$16)),B193/B181,G193)</f>
        <v>1.072</v>
      </c>
      <c r="H194" s="1253" t="n">
        <f aca="false">IF(AND($A194&gt;H$16,MONTH($A194)=MONTH(H$16)),C193/C181,H193)</f>
        <v>1.0254766914318</v>
      </c>
      <c r="I194" s="1253" t="n">
        <f aca="false">IF(AND($A194&gt;I$16,MONTH($A194)=MONTH(I$16)),C193/C181-I$18,I193)</f>
        <v>1.0229766914318</v>
      </c>
      <c r="J194" s="1253" t="n">
        <f aca="false">IF(AND($A194&gt;J$16,MONTH($A194)=MONTH(J$16)),D193/D181,J193)</f>
        <v>1.0185499415018</v>
      </c>
      <c r="K194" s="1253" t="n">
        <f aca="false">IF($A194&gt;=K$16,IF(MONTH($A194)=MONTH(K$16),AVERAGE(E182:E193),K193),K193)</f>
        <v>21.43</v>
      </c>
      <c r="L194" s="1256" t="n">
        <f aca="false">IF($A194&gt;=L$16,IF(MONTH($A194)=MONTH(L$16),AVERAGE(F182:F193),L193),L193)</f>
        <v>2.62238057113975</v>
      </c>
      <c r="M194" s="1215" t="n">
        <f aca="false">M193+1</f>
        <v>182</v>
      </c>
      <c r="N194" s="1252" t="n">
        <f aca="false">HLOOKUP(N$14,Dec_Change,$M194)</f>
        <v>1.0254766914318</v>
      </c>
      <c r="O194" s="1253" t="n">
        <f aca="false">O193</f>
        <v>1.005</v>
      </c>
      <c r="P194" s="1256" t="n">
        <f aca="false">IF(AND($A194&gt;=P$16,MONTH($A194)=MONTH(P$16)),MAX(N194,O194)*P193,P193)</f>
        <v>1.44536293026781</v>
      </c>
    </row>
    <row r="195" customFormat="false" ht="12.75" hidden="false" customHeight="false" outlineLevel="0" collapsed="false">
      <c r="A195" s="1254" t="n">
        <f aca="false">EDATE(A194,1)</f>
        <v>40756</v>
      </c>
      <c r="B195" s="1245" t="n">
        <f aca="false">'[3]Monthly Curve Calc.'!B198</f>
        <v>428.108506611442</v>
      </c>
      <c r="C195" s="1246" t="n">
        <f aca="false">'[3]Monthly Curve Calc.'!C198</f>
        <v>233.482268884281</v>
      </c>
      <c r="D195" s="1246" t="n">
        <f aca="false">'[3]Monthly Curve Calc.'!D198</f>
        <v>181.84206629183</v>
      </c>
      <c r="E195" s="1246" t="n">
        <f aca="false">'[3]Monthly Curve Calc.'!E198</f>
        <v>22.105</v>
      </c>
      <c r="F195" s="1247" t="n">
        <f aca="false">'[3]Monthly Curve Calc.'!F198</f>
        <v>2.68754692177975</v>
      </c>
      <c r="G195" s="1255" t="n">
        <f aca="false">IF(AND($A195&gt;G$16,MONTH($A195)=MONTH(G$16)),B194/B182,G194)</f>
        <v>1.072</v>
      </c>
      <c r="H195" s="1253" t="n">
        <f aca="false">IF(AND($A195&gt;H$16,MONTH($A195)=MONTH(H$16)),C194/C182,H194)</f>
        <v>1.0254766914318</v>
      </c>
      <c r="I195" s="1253" t="n">
        <f aca="false">IF(AND($A195&gt;I$16,MONTH($A195)=MONTH(I$16)),C194/C182-I$18,I194)</f>
        <v>1.0229766914318</v>
      </c>
      <c r="J195" s="1253" t="n">
        <f aca="false">IF(AND($A195&gt;J$16,MONTH($A195)=MONTH(J$16)),D194/D182,J194)</f>
        <v>1.0185499415018</v>
      </c>
      <c r="K195" s="1253" t="n">
        <f aca="false">IF($A195&gt;=K$16,IF(MONTH($A195)=MONTH(K$16),AVERAGE(E183:E194),K194),K194)</f>
        <v>21.43</v>
      </c>
      <c r="L195" s="1256" t="n">
        <f aca="false">IF($A195&gt;=L$16,IF(MONTH($A195)=MONTH(L$16),AVERAGE(F183:F194),L194),L194)</f>
        <v>2.62238057113975</v>
      </c>
      <c r="M195" s="1215" t="n">
        <f aca="false">M194+1</f>
        <v>183</v>
      </c>
      <c r="N195" s="1252" t="n">
        <f aca="false">HLOOKUP(N$14,Dec_Change,$M195)</f>
        <v>1.0254766914318</v>
      </c>
      <c r="O195" s="1253" t="n">
        <f aca="false">O194</f>
        <v>1.005</v>
      </c>
      <c r="P195" s="1256" t="n">
        <f aca="false">IF(AND($A195&gt;=P$16,MONTH($A195)=MONTH(P$16)),MAX(N195,O195)*P194,P194)</f>
        <v>1.44536293026781</v>
      </c>
    </row>
    <row r="196" customFormat="false" ht="12.75" hidden="false" customHeight="false" outlineLevel="0" collapsed="false">
      <c r="A196" s="1254" t="n">
        <f aca="false">EDATE(A195,1)</f>
        <v>40787</v>
      </c>
      <c r="B196" s="1245" t="n">
        <f aca="false">'[3]Monthly Curve Calc.'!B199</f>
        <v>430.596097573843</v>
      </c>
      <c r="C196" s="1246" t="n">
        <f aca="false">'[3]Monthly Curve Calc.'!C199</f>
        <v>233.968572455688</v>
      </c>
      <c r="D196" s="1246" t="n">
        <f aca="false">'[3]Monthly Curve Calc.'!D199</f>
        <v>182.103719009948</v>
      </c>
      <c r="E196" s="1246" t="n">
        <f aca="false">'[3]Monthly Curve Calc.'!E199</f>
        <v>22.155</v>
      </c>
      <c r="F196" s="1247" t="n">
        <f aca="false">'[3]Monthly Curve Calc.'!F199</f>
        <v>2.6922096218318</v>
      </c>
      <c r="G196" s="1255" t="n">
        <f aca="false">IF(AND($A196&gt;G$16,MONTH($A196)=MONTH(G$16)),B195/B183,G195)</f>
        <v>1.072</v>
      </c>
      <c r="H196" s="1253" t="n">
        <f aca="false">IF(AND($A196&gt;H$16,MONTH($A196)=MONTH(H$16)),C195/C183,H195)</f>
        <v>1.0254766914318</v>
      </c>
      <c r="I196" s="1253" t="n">
        <f aca="false">IF(AND($A196&gt;I$16,MONTH($A196)=MONTH(I$16)),C195/C183-I$18,I195)</f>
        <v>1.0229766914318</v>
      </c>
      <c r="J196" s="1253" t="n">
        <f aca="false">IF(AND($A196&gt;J$16,MONTH($A196)=MONTH(J$16)),D195/D183,J195)</f>
        <v>1.0185499415018</v>
      </c>
      <c r="K196" s="1253" t="n">
        <f aca="false">IF($A196&gt;=K$16,IF(MONTH($A196)=MONTH(K$16),AVERAGE(E184:E195),K195),K195)</f>
        <v>21.43</v>
      </c>
      <c r="L196" s="1256" t="n">
        <f aca="false">IF($A196&gt;=L$16,IF(MONTH($A196)=MONTH(L$16),AVERAGE(F184:F195),L195),L195)</f>
        <v>2.62238057113975</v>
      </c>
      <c r="M196" s="1215" t="n">
        <f aca="false">M195+1</f>
        <v>184</v>
      </c>
      <c r="N196" s="1252" t="n">
        <f aca="false">HLOOKUP(N$14,Dec_Change,$M196)</f>
        <v>1.0254766914318</v>
      </c>
      <c r="O196" s="1253" t="n">
        <f aca="false">O195</f>
        <v>1.005</v>
      </c>
      <c r="P196" s="1256" t="n">
        <f aca="false">IF(AND($A196&gt;=P$16,MONTH($A196)=MONTH(P$16)),MAX(N196,O196)*P195,P195)</f>
        <v>1.44536293026781</v>
      </c>
    </row>
    <row r="197" customFormat="false" ht="12.75" hidden="false" customHeight="false" outlineLevel="0" collapsed="false">
      <c r="A197" s="1254" t="n">
        <f aca="false">EDATE(A196,1)</f>
        <v>40817</v>
      </c>
      <c r="B197" s="1245" t="n">
        <f aca="false">'[3]Monthly Curve Calc.'!B200</f>
        <v>433.09814306985</v>
      </c>
      <c r="C197" s="1246" t="n">
        <f aca="false">'[3]Monthly Curve Calc.'!C200</f>
        <v>234.455888914132</v>
      </c>
      <c r="D197" s="1246" t="n">
        <f aca="false">'[3]Monthly Curve Calc.'!D200</f>
        <v>182.365748220406</v>
      </c>
      <c r="E197" s="1246" t="n">
        <f aca="false">'[3]Monthly Curve Calc.'!E200</f>
        <v>22.205</v>
      </c>
      <c r="F197" s="1247" t="n">
        <f aca="false">'[3]Monthly Curve Calc.'!F200</f>
        <v>2.69688041133211</v>
      </c>
      <c r="G197" s="1255" t="n">
        <f aca="false">IF(AND($A197&gt;G$16,MONTH($A197)=MONTH(G$16)),B196/B184,G196)</f>
        <v>1.072</v>
      </c>
      <c r="H197" s="1253" t="n">
        <f aca="false">IF(AND($A197&gt;H$16,MONTH($A197)=MONTH(H$16)),C196/C184,H196)</f>
        <v>1.0254766914318</v>
      </c>
      <c r="I197" s="1253" t="n">
        <f aca="false">IF(AND($A197&gt;I$16,MONTH($A197)=MONTH(I$16)),C196/C184-I$18,I196)</f>
        <v>1.0229766914318</v>
      </c>
      <c r="J197" s="1253" t="n">
        <f aca="false">IF(AND($A197&gt;J$16,MONTH($A197)=MONTH(J$16)),D196/D184,J196)</f>
        <v>1.0185499415018</v>
      </c>
      <c r="K197" s="1253" t="n">
        <f aca="false">IF($A197&gt;=K$16,IF(MONTH($A197)=MONTH(K$16),AVERAGE(E185:E196),K196),K196)</f>
        <v>21.43</v>
      </c>
      <c r="L197" s="1256" t="n">
        <f aca="false">IF($A197&gt;=L$16,IF(MONTH($A197)=MONTH(L$16),AVERAGE(F185:F196),L196),L196)</f>
        <v>2.62238057113975</v>
      </c>
      <c r="M197" s="1215" t="n">
        <f aca="false">M196+1</f>
        <v>185</v>
      </c>
      <c r="N197" s="1252" t="n">
        <f aca="false">HLOOKUP(N$14,Dec_Change,$M197)</f>
        <v>1.0254766914318</v>
      </c>
      <c r="O197" s="1253" t="n">
        <f aca="false">O196</f>
        <v>1.005</v>
      </c>
      <c r="P197" s="1256" t="n">
        <f aca="false">IF(AND($A197&gt;=P$16,MONTH($A197)=MONTH(P$16)),MAX(N197,O197)*P196,P196)</f>
        <v>1.44536293026781</v>
      </c>
    </row>
    <row r="198" customFormat="false" ht="12.75" hidden="false" customHeight="false" outlineLevel="0" collapsed="false">
      <c r="A198" s="1254" t="n">
        <f aca="false">EDATE(A197,1)</f>
        <v>40848</v>
      </c>
      <c r="B198" s="1245" t="n">
        <f aca="false">'[3]Monthly Curve Calc.'!B201</f>
        <v>435.614727089777</v>
      </c>
      <c r="C198" s="1246" t="n">
        <f aca="false">'[3]Monthly Curve Calc.'!C201</f>
        <v>234.944220369284</v>
      </c>
      <c r="D198" s="1246" t="n">
        <f aca="false">'[3]Monthly Curve Calc.'!D201</f>
        <v>182.628154464937</v>
      </c>
      <c r="E198" s="1246" t="n">
        <f aca="false">'[3]Monthly Curve Calc.'!E201</f>
        <v>22.255</v>
      </c>
      <c r="F198" s="1247" t="n">
        <f aca="false">'[3]Monthly Curve Calc.'!F201</f>
        <v>2.70155930431529</v>
      </c>
      <c r="G198" s="1255" t="n">
        <f aca="false">IF(AND($A198&gt;G$16,MONTH($A198)=MONTH(G$16)),B197/B185,G197)</f>
        <v>1.072</v>
      </c>
      <c r="H198" s="1253" t="n">
        <f aca="false">IF(AND($A198&gt;H$16,MONTH($A198)=MONTH(H$16)),C197/C185,H197)</f>
        <v>1.0254766914318</v>
      </c>
      <c r="I198" s="1253" t="n">
        <f aca="false">IF(AND($A198&gt;I$16,MONTH($A198)=MONTH(I$16)),C197/C185-I$18,I197)</f>
        <v>1.0229766914318</v>
      </c>
      <c r="J198" s="1253" t="n">
        <f aca="false">IF(AND($A198&gt;J$16,MONTH($A198)=MONTH(J$16)),D197/D185,J197)</f>
        <v>1.0185499415018</v>
      </c>
      <c r="K198" s="1253" t="n">
        <f aca="false">IF($A198&gt;=K$16,IF(MONTH($A198)=MONTH(K$16),AVERAGE(E186:E197),K197),K197)</f>
        <v>21.43</v>
      </c>
      <c r="L198" s="1256" t="n">
        <f aca="false">IF($A198&gt;=L$16,IF(MONTH($A198)=MONTH(L$16),AVERAGE(F186:F197),L197),L197)</f>
        <v>2.62238057113975</v>
      </c>
      <c r="M198" s="1215" t="n">
        <f aca="false">M197+1</f>
        <v>186</v>
      </c>
      <c r="N198" s="1252" t="n">
        <f aca="false">HLOOKUP(N$14,Dec_Change,$M198)</f>
        <v>1.0254766914318</v>
      </c>
      <c r="O198" s="1253" t="n">
        <f aca="false">O197</f>
        <v>1.005</v>
      </c>
      <c r="P198" s="1256" t="n">
        <f aca="false">IF(AND($A198&gt;=P$16,MONTH($A198)=MONTH(P$16)),MAX(N198,O198)*P197,P197)</f>
        <v>1.44536293026781</v>
      </c>
    </row>
    <row r="199" customFormat="false" ht="12.75" hidden="false" customHeight="false" outlineLevel="0" collapsed="false">
      <c r="A199" s="1254" t="n">
        <f aca="false">EDATE(A198,1)</f>
        <v>40878</v>
      </c>
      <c r="B199" s="1245" t="n">
        <f aca="false">'[3]Monthly Curve Calc.'!B202</f>
        <v>438.145934111974</v>
      </c>
      <c r="C199" s="1246" t="n">
        <f aca="false">'[3]Monthly Curve Calc.'!C202</f>
        <v>235.433568935207</v>
      </c>
      <c r="D199" s="1246" t="n">
        <f aca="false">'[3]Monthly Curve Calc.'!D202</f>
        <v>182.890938286058</v>
      </c>
      <c r="E199" s="1246" t="n">
        <f aca="false">'[3]Monthly Curve Calc.'!E202</f>
        <v>22.305</v>
      </c>
      <c r="F199" s="1247" t="n">
        <f aca="false">'[3]Monthly Curve Calc.'!F202</f>
        <v>2.70624631484031</v>
      </c>
      <c r="G199" s="1255" t="n">
        <f aca="false">IF(AND($A199&gt;G$16,MONTH($A199)=MONTH(G$16)),B198/B186,G198)</f>
        <v>1.072</v>
      </c>
      <c r="H199" s="1253" t="n">
        <f aca="false">IF(AND($A199&gt;H$16,MONTH($A199)=MONTH(H$16)),C198/C186,H198)</f>
        <v>1.0254766914318</v>
      </c>
      <c r="I199" s="1253" t="n">
        <f aca="false">IF(AND($A199&gt;I$16,MONTH($A199)=MONTH(I$16)),C198/C186-I$18,I198)</f>
        <v>1.0229766914318</v>
      </c>
      <c r="J199" s="1253" t="n">
        <f aca="false">IF(AND($A199&gt;J$16,MONTH($A199)=MONTH(J$16)),D198/D186,J198)</f>
        <v>1.0185499415018</v>
      </c>
      <c r="K199" s="1253" t="n">
        <f aca="false">IF($A199&gt;=K$16,IF(MONTH($A199)=MONTH(K$16),AVERAGE(E187:E198),K198),K198)</f>
        <v>21.43</v>
      </c>
      <c r="L199" s="1256" t="n">
        <f aca="false">IF($A199&gt;=L$16,IF(MONTH($A199)=MONTH(L$16),AVERAGE(F187:F198),L198),L198)</f>
        <v>2.62238057113975</v>
      </c>
      <c r="M199" s="1215" t="n">
        <f aca="false">M198+1</f>
        <v>187</v>
      </c>
      <c r="N199" s="1252" t="n">
        <f aca="false">HLOOKUP(N$14,Dec_Change,$M199)</f>
        <v>1.0254766914318</v>
      </c>
      <c r="O199" s="1253" t="n">
        <f aca="false">O198</f>
        <v>1.005</v>
      </c>
      <c r="P199" s="1256" t="n">
        <f aca="false">IF(AND($A199&gt;=P$16,MONTH($A199)=MONTH(P$16)),MAX(N199,O199)*P198,P198)</f>
        <v>1.44536293026781</v>
      </c>
    </row>
    <row r="200" customFormat="false" ht="12.75" hidden="false" customHeight="false" outlineLevel="0" collapsed="false">
      <c r="A200" s="1254" t="n">
        <f aca="false">EDATE(A199,1)</f>
        <v>40909</v>
      </c>
      <c r="B200" s="1245" t="n">
        <f aca="false">'[3]Monthly Curve Calc.'!B203</f>
        <v>440.691849105666</v>
      </c>
      <c r="C200" s="1246" t="n">
        <f aca="false">'[3]Monthly Curve Calc.'!C203</f>
        <v>235.920101317146</v>
      </c>
      <c r="D200" s="1246" t="n">
        <f aca="false">'[3]Monthly Curve Calc.'!D203</f>
        <v>183.139217085792</v>
      </c>
      <c r="E200" s="1246" t="n">
        <f aca="false">'[3]Monthly Curve Calc.'!E203</f>
        <v>22.355</v>
      </c>
      <c r="F200" s="1247" t="n">
        <f aca="false">'[3]Monthly Curve Calc.'!F203</f>
        <v>2.71071337566439</v>
      </c>
      <c r="G200" s="1255" t="n">
        <f aca="false">IF(AND($A200&gt;G$16,MONTH($A200)=MONTH(G$16)),B199/B187,G199)</f>
        <v>1.072</v>
      </c>
      <c r="H200" s="1253" t="n">
        <f aca="false">IF(AND($A200&gt;H$16,MONTH($A200)=MONTH(H$16)),C199/C187,H199)</f>
        <v>1.0254766914318</v>
      </c>
      <c r="I200" s="1253" t="n">
        <f aca="false">IF(AND($A200&gt;I$16,MONTH($A200)=MONTH(I$16)),C199/C187-I$18,I199)</f>
        <v>1.0229766914318</v>
      </c>
      <c r="J200" s="1253" t="n">
        <f aca="false">IF(AND($A200&gt;J$16,MONTH($A200)=MONTH(J$16)),D199/D187,J199)</f>
        <v>1.01740411745657</v>
      </c>
      <c r="K200" s="1253" t="n">
        <f aca="false">IF($A200&gt;=K$16,IF(MONTH($A200)=MONTH(K$16),AVERAGE(E188:E199),K199),K199)</f>
        <v>22.03</v>
      </c>
      <c r="L200" s="1256" t="n">
        <f aca="false">IF($A200&gt;=L$16,IF(MONTH($A200)=MONTH(L$16),AVERAGE(F188:F199),L199),L199)</f>
        <v>2.68061600022471</v>
      </c>
      <c r="M200" s="1215" t="n">
        <f aca="false">M199+1</f>
        <v>188</v>
      </c>
      <c r="N200" s="1252" t="n">
        <f aca="false">HLOOKUP(N$14,Dec_Change,$M200)</f>
        <v>1.0254766914318</v>
      </c>
      <c r="O200" s="1253" t="n">
        <f aca="false">O199</f>
        <v>1.005</v>
      </c>
      <c r="P200" s="1256" t="n">
        <f aca="false">IF(AND($A200&gt;=P$16,MONTH($A200)=MONTH(P$16)),MAX(N200,O200)*P199,P199)</f>
        <v>1.44536293026781</v>
      </c>
    </row>
    <row r="201" customFormat="false" ht="12.75" hidden="false" customHeight="false" outlineLevel="0" collapsed="false">
      <c r="A201" s="1254" t="n">
        <f aca="false">EDATE(A200,1)</f>
        <v>40940</v>
      </c>
      <c r="B201" s="1245" t="n">
        <f aca="false">'[3]Monthly Curve Calc.'!B204</f>
        <v>443.252557533807</v>
      </c>
      <c r="C201" s="1246" t="n">
        <f aca="false">'[3]Monthly Curve Calc.'!C204</f>
        <v>236.407639136668</v>
      </c>
      <c r="D201" s="1246" t="n">
        <f aca="false">'[3]Monthly Curve Calc.'!D204</f>
        <v>183.387832929903</v>
      </c>
      <c r="E201" s="1246" t="n">
        <f aca="false">'[3]Monthly Curve Calc.'!E204</f>
        <v>22.405</v>
      </c>
      <c r="F201" s="1247" t="n">
        <f aca="false">'[3]Monthly Curve Calc.'!F204</f>
        <v>2.71518781003473</v>
      </c>
      <c r="G201" s="1255" t="n">
        <f aca="false">IF(AND($A201&gt;G$16,MONTH($A201)=MONTH(G$16)),B200/B188,G200)</f>
        <v>1.072</v>
      </c>
      <c r="H201" s="1253" t="n">
        <f aca="false">IF(AND($A201&gt;H$16,MONTH($A201)=MONTH(H$16)),C200/C188,H200)</f>
        <v>1.0254766914318</v>
      </c>
      <c r="I201" s="1253" t="n">
        <f aca="false">IF(AND($A201&gt;I$16,MONTH($A201)=MONTH(I$16)),C200/C188-I$18,I200)</f>
        <v>1.0229766914318</v>
      </c>
      <c r="J201" s="1253" t="n">
        <f aca="false">IF(AND($A201&gt;J$16,MONTH($A201)=MONTH(J$16)),D200/D188,J200)</f>
        <v>1.01740411745657</v>
      </c>
      <c r="K201" s="1253" t="n">
        <f aca="false">IF($A201&gt;=K$16,IF(MONTH($A201)=MONTH(K$16),AVERAGE(E189:E200),K200),K200)</f>
        <v>22.03</v>
      </c>
      <c r="L201" s="1256" t="n">
        <f aca="false">IF($A201&gt;=L$16,IF(MONTH($A201)=MONTH(L$16),AVERAGE(F189:F200),L200),L200)</f>
        <v>2.68061600022471</v>
      </c>
      <c r="M201" s="1215" t="n">
        <f aca="false">M200+1</f>
        <v>189</v>
      </c>
      <c r="N201" s="1252" t="n">
        <f aca="false">HLOOKUP(N$14,Dec_Change,$M201)</f>
        <v>1.0254766914318</v>
      </c>
      <c r="O201" s="1253" t="n">
        <f aca="false">O200</f>
        <v>1.005</v>
      </c>
      <c r="P201" s="1256" t="n">
        <f aca="false">IF(AND($A201&gt;=P$16,MONTH($A201)=MONTH(P$16)),MAX(N201,O201)*P200,P200)</f>
        <v>1.44536293026781</v>
      </c>
    </row>
    <row r="202" customFormat="false" ht="12.75" hidden="false" customHeight="false" outlineLevel="0" collapsed="false">
      <c r="A202" s="1254" t="n">
        <f aca="false">EDATE(A201,1)</f>
        <v>40969</v>
      </c>
      <c r="B202" s="1245" t="n">
        <f aca="false">'[3]Monthly Curve Calc.'!B205</f>
        <v>445.828145355945</v>
      </c>
      <c r="C202" s="1246" t="n">
        <f aca="false">'[3]Monthly Curve Calc.'!C205</f>
        <v>236.896184471549</v>
      </c>
      <c r="D202" s="1246" t="n">
        <f aca="false">'[3]Monthly Curve Calc.'!D205</f>
        <v>183.636786275936</v>
      </c>
      <c r="E202" s="1246" t="n">
        <f aca="false">'[3]Monthly Curve Calc.'!E205</f>
        <v>22.455</v>
      </c>
      <c r="F202" s="1247" t="n">
        <f aca="false">'[3]Monthly Curve Calc.'!F205</f>
        <v>2.71966963012247</v>
      </c>
      <c r="G202" s="1255" t="n">
        <f aca="false">IF(AND($A202&gt;G$16,MONTH($A202)=MONTH(G$16)),B201/B189,G201)</f>
        <v>1.072</v>
      </c>
      <c r="H202" s="1253" t="n">
        <f aca="false">IF(AND($A202&gt;H$16,MONTH($A202)=MONTH(H$16)),C201/C189,H201)</f>
        <v>1.0254766914318</v>
      </c>
      <c r="I202" s="1253" t="n">
        <f aca="false">IF(AND($A202&gt;I$16,MONTH($A202)=MONTH(I$16)),C201/C189-I$18,I201)</f>
        <v>1.0229766914318</v>
      </c>
      <c r="J202" s="1253" t="n">
        <f aca="false">IF(AND($A202&gt;J$16,MONTH($A202)=MONTH(J$16)),D201/D189,J201)</f>
        <v>1.01740411745657</v>
      </c>
      <c r="K202" s="1253" t="n">
        <f aca="false">IF($A202&gt;=K$16,IF(MONTH($A202)=MONTH(K$16),AVERAGE(E190:E201),K201),K201)</f>
        <v>22.03</v>
      </c>
      <c r="L202" s="1256" t="n">
        <f aca="false">IF($A202&gt;=L$16,IF(MONTH($A202)=MONTH(L$16),AVERAGE(F190:F201),L201),L201)</f>
        <v>2.68061600022471</v>
      </c>
      <c r="M202" s="1215" t="n">
        <f aca="false">M201+1</f>
        <v>190</v>
      </c>
      <c r="N202" s="1252" t="n">
        <f aca="false">HLOOKUP(N$14,Dec_Change,$M202)</f>
        <v>1.0254766914318</v>
      </c>
      <c r="O202" s="1253" t="n">
        <f aca="false">O201</f>
        <v>1.005</v>
      </c>
      <c r="P202" s="1256" t="n">
        <f aca="false">IF(AND($A202&gt;=P$16,MONTH($A202)=MONTH(P$16)),MAX(N202,O202)*P201,P201)</f>
        <v>1.44536293026781</v>
      </c>
    </row>
    <row r="203" customFormat="false" ht="12.75" hidden="false" customHeight="false" outlineLevel="0" collapsed="false">
      <c r="A203" s="1254" t="n">
        <f aca="false">EDATE(A202,1)</f>
        <v>41000</v>
      </c>
      <c r="B203" s="1245" t="n">
        <f aca="false">'[3]Monthly Curve Calc.'!B206</f>
        <v>448.418699031109</v>
      </c>
      <c r="C203" s="1246" t="n">
        <f aca="false">'[3]Monthly Curve Calc.'!C206</f>
        <v>237.385739403857</v>
      </c>
      <c r="D203" s="1246" t="n">
        <f aca="false">'[3]Monthly Curve Calc.'!D206</f>
        <v>183.88607758206</v>
      </c>
      <c r="E203" s="1246" t="n">
        <f aca="false">'[3]Monthly Curve Calc.'!E206</f>
        <v>22.505</v>
      </c>
      <c r="F203" s="1247" t="n">
        <f aca="false">'[3]Monthly Curve Calc.'!F206</f>
        <v>2.72415884811883</v>
      </c>
      <c r="G203" s="1255" t="n">
        <f aca="false">IF(AND($A203&gt;G$16,MONTH($A203)=MONTH(G$16)),B202/B190,G202)</f>
        <v>1.072</v>
      </c>
      <c r="H203" s="1253" t="n">
        <f aca="false">IF(AND($A203&gt;H$16,MONTH($A203)=MONTH(H$16)),C202/C190,H202)</f>
        <v>1.0254766914318</v>
      </c>
      <c r="I203" s="1253" t="n">
        <f aca="false">IF(AND($A203&gt;I$16,MONTH($A203)=MONTH(I$16)),C202/C190-I$18,I202)</f>
        <v>1.0229766914318</v>
      </c>
      <c r="J203" s="1253" t="n">
        <f aca="false">IF(AND($A203&gt;J$16,MONTH($A203)=MONTH(J$16)),D202/D190,J202)</f>
        <v>1.01740411745657</v>
      </c>
      <c r="K203" s="1253" t="n">
        <f aca="false">IF($A203&gt;=K$16,IF(MONTH($A203)=MONTH(K$16),AVERAGE(E191:E202),K202),K202)</f>
        <v>22.03</v>
      </c>
      <c r="L203" s="1256" t="n">
        <f aca="false">IF($A203&gt;=L$16,IF(MONTH($A203)=MONTH(L$16),AVERAGE(F191:F202),L202),L202)</f>
        <v>2.68061600022471</v>
      </c>
      <c r="M203" s="1215" t="n">
        <f aca="false">M202+1</f>
        <v>191</v>
      </c>
      <c r="N203" s="1252" t="n">
        <f aca="false">HLOOKUP(N$14,Dec_Change,$M203)</f>
        <v>1.0254766914318</v>
      </c>
      <c r="O203" s="1253" t="n">
        <f aca="false">O202</f>
        <v>1.005</v>
      </c>
      <c r="P203" s="1256" t="n">
        <f aca="false">IF(AND($A203&gt;=P$16,MONTH($A203)=MONTH(P$16)),MAX(N203,O203)*P202,P202)</f>
        <v>1.44536293026781</v>
      </c>
    </row>
    <row r="204" customFormat="false" ht="12.75" hidden="false" customHeight="false" outlineLevel="0" collapsed="false">
      <c r="A204" s="1254" t="n">
        <f aca="false">EDATE(A203,1)</f>
        <v>41030</v>
      </c>
      <c r="B204" s="1245" t="n">
        <f aca="false">'[3]Monthly Curve Calc.'!B207</f>
        <v>451.024305520712</v>
      </c>
      <c r="C204" s="1246" t="n">
        <f aca="false">'[3]Monthly Curve Calc.'!C207</f>
        <v>237.876306019964</v>
      </c>
      <c r="D204" s="1246" t="n">
        <f aca="false">'[3]Monthly Curve Calc.'!D207</f>
        <v>184.135707307062</v>
      </c>
      <c r="E204" s="1246" t="n">
        <f aca="false">'[3]Monthly Curve Calc.'!E207</f>
        <v>22.555</v>
      </c>
      <c r="F204" s="1247" t="n">
        <f aca="false">'[3]Monthly Curve Calc.'!F207</f>
        <v>2.72865547623515</v>
      </c>
      <c r="G204" s="1255" t="n">
        <f aca="false">IF(AND($A204&gt;G$16,MONTH($A204)=MONTH(G$16)),B203/B191,G203)</f>
        <v>1.072</v>
      </c>
      <c r="H204" s="1253" t="n">
        <f aca="false">IF(AND($A204&gt;H$16,MONTH($A204)=MONTH(H$16)),C203/C191,H203)</f>
        <v>1.02521559082494</v>
      </c>
      <c r="I204" s="1253" t="n">
        <f aca="false">IF(AND($A204&gt;I$16,MONTH($A204)=MONTH(I$16)),C203/C191-I$18,I203)</f>
        <v>1.02271559082494</v>
      </c>
      <c r="J204" s="1253" t="n">
        <f aca="false">IF(AND($A204&gt;J$16,MONTH($A204)=MONTH(J$16)),D203/D191,J203)</f>
        <v>1.01740411745657</v>
      </c>
      <c r="K204" s="1253" t="n">
        <f aca="false">IF($A204&gt;=K$16,IF(MONTH($A204)=MONTH(K$16),AVERAGE(E192:E203),K203),K203)</f>
        <v>22.03</v>
      </c>
      <c r="L204" s="1256" t="n">
        <f aca="false">IF($A204&gt;=L$16,IF(MONTH($A204)=MONTH(L$16),AVERAGE(F192:F203),L203),L203)</f>
        <v>2.68061600022471</v>
      </c>
      <c r="M204" s="1215" t="n">
        <f aca="false">M203+1</f>
        <v>192</v>
      </c>
      <c r="N204" s="1252" t="n">
        <f aca="false">HLOOKUP(N$14,Dec_Change,$M204)</f>
        <v>1.02521559082494</v>
      </c>
      <c r="O204" s="1253" t="n">
        <f aca="false">O203</f>
        <v>1.005</v>
      </c>
      <c r="P204" s="1256" t="n">
        <f aca="false">IF(AND($A204&gt;=P$16,MONTH($A204)=MONTH(P$16)),MAX(N204,O204)*P203,P203)</f>
        <v>1.48180861051097</v>
      </c>
    </row>
    <row r="205" customFormat="false" ht="12.75" hidden="false" customHeight="false" outlineLevel="0" collapsed="false">
      <c r="A205" s="1254" t="n">
        <f aca="false">EDATE(A204,1)</f>
        <v>41061</v>
      </c>
      <c r="B205" s="1245" t="n">
        <f aca="false">'[3]Monthly Curve Calc.'!B208</f>
        <v>453.645052291471</v>
      </c>
      <c r="C205" s="1246" t="n">
        <f aca="false">'[3]Monthly Curve Calc.'!C208</f>
        <v>238.367886410552</v>
      </c>
      <c r="D205" s="1246" t="n">
        <f aca="false">'[3]Monthly Curve Calc.'!D208</f>
        <v>184.385675910355</v>
      </c>
      <c r="E205" s="1246" t="n">
        <f aca="false">'[3]Monthly Curve Calc.'!E208</f>
        <v>22.605</v>
      </c>
      <c r="F205" s="1247" t="n">
        <f aca="false">'[3]Monthly Curve Calc.'!F208</f>
        <v>2.73315952670294</v>
      </c>
      <c r="G205" s="1255" t="n">
        <f aca="false">IF(AND($A205&gt;G$16,MONTH($A205)=MONTH(G$16)),B204/B192,G204)</f>
        <v>1.072</v>
      </c>
      <c r="H205" s="1253" t="n">
        <f aca="false">IF(AND($A205&gt;H$16,MONTH($A205)=MONTH(H$16)),C204/C192,H204)</f>
        <v>1.02521559082494</v>
      </c>
      <c r="I205" s="1253" t="n">
        <f aca="false">IF(AND($A205&gt;I$16,MONTH($A205)=MONTH(I$16)),C204/C192-I$18,I204)</f>
        <v>1.02271559082494</v>
      </c>
      <c r="J205" s="1253" t="n">
        <f aca="false">IF(AND($A205&gt;J$16,MONTH($A205)=MONTH(J$16)),D204/D192,J204)</f>
        <v>1.01740411745657</v>
      </c>
      <c r="K205" s="1253" t="n">
        <f aca="false">IF($A205&gt;=K$16,IF(MONTH($A205)=MONTH(K$16),AVERAGE(E193:E204),K204),K204)</f>
        <v>22.03</v>
      </c>
      <c r="L205" s="1256" t="n">
        <f aca="false">IF($A205&gt;=L$16,IF(MONTH($A205)=MONTH(L$16),AVERAGE(F193:F204),L204),L204)</f>
        <v>2.68061600022471</v>
      </c>
      <c r="M205" s="1215" t="n">
        <f aca="false">M204+1</f>
        <v>193</v>
      </c>
      <c r="N205" s="1252" t="n">
        <f aca="false">HLOOKUP(N$14,Dec_Change,$M205)</f>
        <v>1.02521559082494</v>
      </c>
      <c r="O205" s="1253" t="n">
        <f aca="false">O204</f>
        <v>1.005</v>
      </c>
      <c r="P205" s="1256" t="n">
        <f aca="false">IF(AND($A205&gt;=P$16,MONTH($A205)=MONTH(P$16)),MAX(N205,O205)*P204,P204)</f>
        <v>1.48180861051097</v>
      </c>
    </row>
    <row r="206" customFormat="false" ht="12.75" hidden="false" customHeight="false" outlineLevel="0" collapsed="false">
      <c r="A206" s="1254" t="n">
        <f aca="false">EDATE(A205,1)</f>
        <v>41091</v>
      </c>
      <c r="B206" s="1245" t="n">
        <f aca="false">'[3]Monthly Curve Calc.'!B209</f>
        <v>456.28102731834</v>
      </c>
      <c r="C206" s="1246" t="n">
        <f aca="false">'[3]Monthly Curve Calc.'!C209</f>
        <v>238.860482670624</v>
      </c>
      <c r="D206" s="1246" t="n">
        <f aca="false">'[3]Monthly Curve Calc.'!D209</f>
        <v>184.635983851974</v>
      </c>
      <c r="E206" s="1246" t="n">
        <f aca="false">'[3]Monthly Curve Calc.'!E209</f>
        <v>22.655</v>
      </c>
      <c r="F206" s="1247" t="n">
        <f aca="false">'[3]Monthly Curve Calc.'!F209</f>
        <v>2.73767101177388</v>
      </c>
      <c r="G206" s="1255" t="n">
        <f aca="false">IF(AND($A206&gt;G$16,MONTH($A206)=MONTH(G$16)),B205/B193,G205)</f>
        <v>1.072</v>
      </c>
      <c r="H206" s="1253" t="n">
        <f aca="false">IF(AND($A206&gt;H$16,MONTH($A206)=MONTH(H$16)),C205/C193,H205)</f>
        <v>1.02521559082494</v>
      </c>
      <c r="I206" s="1253" t="n">
        <f aca="false">IF(AND($A206&gt;I$16,MONTH($A206)=MONTH(I$16)),C205/C193-I$18,I205)</f>
        <v>1.02271559082494</v>
      </c>
      <c r="J206" s="1253" t="n">
        <f aca="false">IF(AND($A206&gt;J$16,MONTH($A206)=MONTH(J$16)),D205/D193,J205)</f>
        <v>1.01740411745657</v>
      </c>
      <c r="K206" s="1253" t="n">
        <f aca="false">IF($A206&gt;=K$16,IF(MONTH($A206)=MONTH(K$16),AVERAGE(E194:E205),K205),K205)</f>
        <v>22.03</v>
      </c>
      <c r="L206" s="1256" t="n">
        <f aca="false">IF($A206&gt;=L$16,IF(MONTH($A206)=MONTH(L$16),AVERAGE(F194:F205),L205),L205)</f>
        <v>2.68061600022471</v>
      </c>
      <c r="M206" s="1215" t="n">
        <f aca="false">M205+1</f>
        <v>194</v>
      </c>
      <c r="N206" s="1252" t="n">
        <f aca="false">HLOOKUP(N$14,Dec_Change,$M206)</f>
        <v>1.02521559082494</v>
      </c>
      <c r="O206" s="1253" t="n">
        <f aca="false">O205</f>
        <v>1.005</v>
      </c>
      <c r="P206" s="1256" t="n">
        <f aca="false">IF(AND($A206&gt;=P$16,MONTH($A206)=MONTH(P$16)),MAX(N206,O206)*P205,P205)</f>
        <v>1.48180861051097</v>
      </c>
    </row>
    <row r="207" customFormat="false" ht="12.75" hidden="false" customHeight="false" outlineLevel="0" collapsed="false">
      <c r="A207" s="1254" t="n">
        <f aca="false">EDATE(A206,1)</f>
        <v>41122</v>
      </c>
      <c r="B207" s="1245" t="n">
        <f aca="false">'[3]Monthly Curve Calc.'!B210</f>
        <v>458.932319087466</v>
      </c>
      <c r="C207" s="1246" t="n">
        <f aca="false">'[3]Monthly Curve Calc.'!C210</f>
        <v>239.354096899514</v>
      </c>
      <c r="D207" s="1246" t="n">
        <f aca="false">'[3]Monthly Curve Calc.'!D210</f>
        <v>184.886631592578</v>
      </c>
      <c r="E207" s="1246" t="n">
        <f aca="false">'[3]Monthly Curve Calc.'!E210</f>
        <v>22.705</v>
      </c>
      <c r="F207" s="1247" t="n">
        <f aca="false">'[3]Monthly Curve Calc.'!F210</f>
        <v>2.7421899437199</v>
      </c>
      <c r="G207" s="1255" t="n">
        <f aca="false">IF(AND($A207&gt;G$16,MONTH($A207)=MONTH(G$16)),B206/B194,G206)</f>
        <v>1.072</v>
      </c>
      <c r="H207" s="1253" t="n">
        <f aca="false">IF(AND($A207&gt;H$16,MONTH($A207)=MONTH(H$16)),C206/C194,H206)</f>
        <v>1.02521559082494</v>
      </c>
      <c r="I207" s="1253" t="n">
        <f aca="false">IF(AND($A207&gt;I$16,MONTH($A207)=MONTH(I$16)),C206/C194-I$18,I206)</f>
        <v>1.02271559082494</v>
      </c>
      <c r="J207" s="1253" t="n">
        <f aca="false">IF(AND($A207&gt;J$16,MONTH($A207)=MONTH(J$16)),D206/D194,J206)</f>
        <v>1.01740411745657</v>
      </c>
      <c r="K207" s="1253" t="n">
        <f aca="false">IF($A207&gt;=K$16,IF(MONTH($A207)=MONTH(K$16),AVERAGE(E195:E206),K206),K206)</f>
        <v>22.03</v>
      </c>
      <c r="L207" s="1256" t="n">
        <f aca="false">IF($A207&gt;=L$16,IF(MONTH($A207)=MONTH(L$16),AVERAGE(F195:F206),L206),L206)</f>
        <v>2.68061600022471</v>
      </c>
      <c r="M207" s="1215" t="n">
        <f aca="false">M206+1</f>
        <v>195</v>
      </c>
      <c r="N207" s="1252" t="n">
        <f aca="false">HLOOKUP(N$14,Dec_Change,$M207)</f>
        <v>1.02521559082494</v>
      </c>
      <c r="O207" s="1253" t="n">
        <f aca="false">O206</f>
        <v>1.005</v>
      </c>
      <c r="P207" s="1256" t="n">
        <f aca="false">IF(AND($A207&gt;=P$16,MONTH($A207)=MONTH(P$16)),MAX(N207,O207)*P206,P206)</f>
        <v>1.48180861051097</v>
      </c>
    </row>
    <row r="208" customFormat="false" ht="12.75" hidden="false" customHeight="false" outlineLevel="0" collapsed="false">
      <c r="A208" s="1254" t="n">
        <f aca="false">EDATE(A207,1)</f>
        <v>41153</v>
      </c>
      <c r="B208" s="1245" t="n">
        <f aca="false">'[3]Monthly Curve Calc.'!B211</f>
        <v>461.59901659916</v>
      </c>
      <c r="C208" s="1246" t="n">
        <f aca="false">'[3]Monthly Curve Calc.'!C211</f>
        <v>239.848731200893</v>
      </c>
      <c r="D208" s="1246" t="n">
        <f aca="false">'[3]Monthly Curve Calc.'!D211</f>
        <v>185.137619593453</v>
      </c>
      <c r="E208" s="1246" t="n">
        <f aca="false">'[3]Monthly Curve Calc.'!E211</f>
        <v>22.755</v>
      </c>
      <c r="F208" s="1247" t="n">
        <f aca="false">'[3]Monthly Curve Calc.'!F211</f>
        <v>2.74671633483315</v>
      </c>
      <c r="G208" s="1255" t="n">
        <f aca="false">IF(AND($A208&gt;G$16,MONTH($A208)=MONTH(G$16)),B207/B195,G207)</f>
        <v>1.072</v>
      </c>
      <c r="H208" s="1253" t="n">
        <f aca="false">IF(AND($A208&gt;H$16,MONTH($A208)=MONTH(H$16)),C207/C195,H207)</f>
        <v>1.02521559082494</v>
      </c>
      <c r="I208" s="1253" t="n">
        <f aca="false">IF(AND($A208&gt;I$16,MONTH($A208)=MONTH(I$16)),C207/C195-I$18,I207)</f>
        <v>1.02271559082494</v>
      </c>
      <c r="J208" s="1253" t="n">
        <f aca="false">IF(AND($A208&gt;J$16,MONTH($A208)=MONTH(J$16)),D207/D195,J207)</f>
        <v>1.01740411745657</v>
      </c>
      <c r="K208" s="1253" t="n">
        <f aca="false">IF($A208&gt;=K$16,IF(MONTH($A208)=MONTH(K$16),AVERAGE(E196:E207),K207),K207)</f>
        <v>22.03</v>
      </c>
      <c r="L208" s="1256" t="n">
        <f aca="false">IF($A208&gt;=L$16,IF(MONTH($A208)=MONTH(L$16),AVERAGE(F196:F207),L207),L207)</f>
        <v>2.68061600022471</v>
      </c>
      <c r="M208" s="1215" t="n">
        <f aca="false">M207+1</f>
        <v>196</v>
      </c>
      <c r="N208" s="1252" t="n">
        <f aca="false">HLOOKUP(N$14,Dec_Change,$M208)</f>
        <v>1.02521559082494</v>
      </c>
      <c r="O208" s="1253" t="n">
        <f aca="false">O207</f>
        <v>1.005</v>
      </c>
      <c r="P208" s="1256" t="n">
        <f aca="false">IF(AND($A208&gt;=P$16,MONTH($A208)=MONTH(P$16)),MAX(N208,O208)*P207,P207)</f>
        <v>1.48180861051097</v>
      </c>
    </row>
    <row r="209" customFormat="false" ht="12.75" hidden="false" customHeight="false" outlineLevel="0" collapsed="false">
      <c r="A209" s="1254" t="n">
        <f aca="false">EDATE(A208,1)</f>
        <v>41183</v>
      </c>
      <c r="B209" s="1245" t="n">
        <f aca="false">'[3]Monthly Curve Calc.'!B212</f>
        <v>464.28120937088</v>
      </c>
      <c r="C209" s="1246" t="n">
        <f aca="false">'[3]Monthly Curve Calc.'!C212</f>
        <v>240.344387682778</v>
      </c>
      <c r="D209" s="1246" t="n">
        <f aca="false">'[3]Monthly Curve Calc.'!D212</f>
        <v>185.38894831651</v>
      </c>
      <c r="E209" s="1246" t="n">
        <f aca="false">'[3]Monthly Curve Calc.'!E212</f>
        <v>22.805</v>
      </c>
      <c r="F209" s="1247" t="n">
        <f aca="false">'[3]Monthly Curve Calc.'!F212</f>
        <v>2.75125019742612</v>
      </c>
      <c r="G209" s="1255" t="n">
        <f aca="false">IF(AND($A209&gt;G$16,MONTH($A209)=MONTH(G$16)),B208/B196,G208)</f>
        <v>1.072</v>
      </c>
      <c r="H209" s="1253" t="n">
        <f aca="false">IF(AND($A209&gt;H$16,MONTH($A209)=MONTH(H$16)),C208/C196,H208)</f>
        <v>1.02521559082494</v>
      </c>
      <c r="I209" s="1253" t="n">
        <f aca="false">IF(AND($A209&gt;I$16,MONTH($A209)=MONTH(I$16)),C208/C196-I$18,I208)</f>
        <v>1.02271559082494</v>
      </c>
      <c r="J209" s="1253" t="n">
        <f aca="false">IF(AND($A209&gt;J$16,MONTH($A209)=MONTH(J$16)),D208/D196,J208)</f>
        <v>1.01740411745657</v>
      </c>
      <c r="K209" s="1253" t="n">
        <f aca="false">IF($A209&gt;=K$16,IF(MONTH($A209)=MONTH(K$16),AVERAGE(E197:E208),K208),K208)</f>
        <v>22.03</v>
      </c>
      <c r="L209" s="1256" t="n">
        <f aca="false">IF($A209&gt;=L$16,IF(MONTH($A209)=MONTH(L$16),AVERAGE(F197:F208),L208),L208)</f>
        <v>2.68061600022471</v>
      </c>
      <c r="M209" s="1215" t="n">
        <f aca="false">M208+1</f>
        <v>197</v>
      </c>
      <c r="N209" s="1252" t="n">
        <f aca="false">HLOOKUP(N$14,Dec_Change,$M209)</f>
        <v>1.02521559082494</v>
      </c>
      <c r="O209" s="1253" t="n">
        <f aca="false">O208</f>
        <v>1.005</v>
      </c>
      <c r="P209" s="1256" t="n">
        <f aca="false">IF(AND($A209&gt;=P$16,MONTH($A209)=MONTH(P$16)),MAX(N209,O209)*P208,P208)</f>
        <v>1.48180861051097</v>
      </c>
    </row>
    <row r="210" customFormat="false" ht="12.75" hidden="false" customHeight="false" outlineLevel="0" collapsed="false">
      <c r="A210" s="1254" t="n">
        <f aca="false">EDATE(A209,1)</f>
        <v>41214</v>
      </c>
      <c r="B210" s="1245" t="n">
        <f aca="false">'[3]Monthly Curve Calc.'!B213</f>
        <v>466.978987440241</v>
      </c>
      <c r="C210" s="1246" t="n">
        <f aca="false">'[3]Monthly Curve Calc.'!C213</f>
        <v>240.841068457545</v>
      </c>
      <c r="D210" s="1246" t="n">
        <f aca="false">'[3]Monthly Curve Calc.'!D213</f>
        <v>185.640618224288</v>
      </c>
      <c r="E210" s="1246" t="n">
        <f aca="false">'[3]Monthly Curve Calc.'!E213</f>
        <v>22.855</v>
      </c>
      <c r="F210" s="1247" t="n">
        <f aca="false">'[3]Monthly Curve Calc.'!F213</f>
        <v>2.75579154383157</v>
      </c>
      <c r="G210" s="1255" t="n">
        <f aca="false">IF(AND($A210&gt;G$16,MONTH($A210)=MONTH(G$16)),B209/B197,G209)</f>
        <v>1.072</v>
      </c>
      <c r="H210" s="1253" t="n">
        <f aca="false">IF(AND($A210&gt;H$16,MONTH($A210)=MONTH(H$16)),C209/C197,H209)</f>
        <v>1.02521559082494</v>
      </c>
      <c r="I210" s="1253" t="n">
        <f aca="false">IF(AND($A210&gt;I$16,MONTH($A210)=MONTH(I$16)),C209/C197-I$18,I209)</f>
        <v>1.02271559082494</v>
      </c>
      <c r="J210" s="1253" t="n">
        <f aca="false">IF(AND($A210&gt;J$16,MONTH($A210)=MONTH(J$16)),D209/D197,J209)</f>
        <v>1.01740411745657</v>
      </c>
      <c r="K210" s="1253" t="n">
        <f aca="false">IF($A210&gt;=K$16,IF(MONTH($A210)=MONTH(K$16),AVERAGE(E198:E209),K209),K209)</f>
        <v>22.03</v>
      </c>
      <c r="L210" s="1256" t="n">
        <f aca="false">IF($A210&gt;=L$16,IF(MONTH($A210)=MONTH(L$16),AVERAGE(F198:F209),L209),L209)</f>
        <v>2.68061600022471</v>
      </c>
      <c r="M210" s="1215" t="n">
        <f aca="false">M209+1</f>
        <v>198</v>
      </c>
      <c r="N210" s="1252" t="n">
        <f aca="false">HLOOKUP(N$14,Dec_Change,$M210)</f>
        <v>1.02521559082494</v>
      </c>
      <c r="O210" s="1253" t="n">
        <f aca="false">O209</f>
        <v>1.005</v>
      </c>
      <c r="P210" s="1256" t="n">
        <f aca="false">IF(AND($A210&gt;=P$16,MONTH($A210)=MONTH(P$16)),MAX(N210,O210)*P209,P209)</f>
        <v>1.48180861051097</v>
      </c>
    </row>
    <row r="211" customFormat="false" ht="12.75" hidden="false" customHeight="false" outlineLevel="0" collapsed="false">
      <c r="A211" s="1254" t="n">
        <f aca="false">EDATE(A210,1)</f>
        <v>41244</v>
      </c>
      <c r="B211" s="1245" t="n">
        <f aca="false">'[3]Monthly Curve Calc.'!B214</f>
        <v>469.692441368036</v>
      </c>
      <c r="C211" s="1246" t="n">
        <f aca="false">'[3]Monthly Curve Calc.'!C214</f>
        <v>241.338775641934</v>
      </c>
      <c r="D211" s="1246" t="n">
        <f aca="false">'[3]Monthly Curve Calc.'!D214</f>
        <v>185.892629779954</v>
      </c>
      <c r="E211" s="1246" t="n">
        <f aca="false">'[3]Monthly Curve Calc.'!E214</f>
        <v>22.905</v>
      </c>
      <c r="F211" s="1247" t="n">
        <f aca="false">'[3]Monthly Curve Calc.'!F214</f>
        <v>2.76034038640265</v>
      </c>
      <c r="G211" s="1255" t="n">
        <f aca="false">IF(AND($A211&gt;G$16,MONTH($A211)=MONTH(G$16)),B210/B198,G210)</f>
        <v>1.072</v>
      </c>
      <c r="H211" s="1253" t="n">
        <f aca="false">IF(AND($A211&gt;H$16,MONTH($A211)=MONTH(H$16)),C210/C198,H210)</f>
        <v>1.02521559082494</v>
      </c>
      <c r="I211" s="1253" t="n">
        <f aca="false">IF(AND($A211&gt;I$16,MONTH($A211)=MONTH(I$16)),C210/C198-I$18,I210)</f>
        <v>1.02271559082494</v>
      </c>
      <c r="J211" s="1253" t="n">
        <f aca="false">IF(AND($A211&gt;J$16,MONTH($A211)=MONTH(J$16)),D210/D198,J210)</f>
        <v>1.01740411745657</v>
      </c>
      <c r="K211" s="1253" t="n">
        <f aca="false">IF($A211&gt;=K$16,IF(MONTH($A211)=MONTH(K$16),AVERAGE(E199:E210),K210),K210)</f>
        <v>22.03</v>
      </c>
      <c r="L211" s="1256" t="n">
        <f aca="false">IF($A211&gt;=L$16,IF(MONTH($A211)=MONTH(L$16),AVERAGE(F199:F210),L210),L210)</f>
        <v>2.68061600022471</v>
      </c>
      <c r="M211" s="1215" t="n">
        <f aca="false">M210+1</f>
        <v>199</v>
      </c>
      <c r="N211" s="1252" t="n">
        <f aca="false">HLOOKUP(N$14,Dec_Change,$M211)</f>
        <v>1.02521559082494</v>
      </c>
      <c r="O211" s="1253" t="n">
        <f aca="false">O210</f>
        <v>1.005</v>
      </c>
      <c r="P211" s="1256" t="n">
        <f aca="false">IF(AND($A211&gt;=P$16,MONTH($A211)=MONTH(P$16)),MAX(N211,O211)*P210,P210)</f>
        <v>1.48180861051097</v>
      </c>
    </row>
    <row r="212" customFormat="false" ht="12.75" hidden="false" customHeight="false" outlineLevel="0" collapsed="false">
      <c r="A212" s="1254" t="n">
        <f aca="false">EDATE(A211,1)</f>
        <v>41275</v>
      </c>
      <c r="B212" s="1245" t="n">
        <f aca="false">'[3]Monthly Curve Calc.'!B215</f>
        <v>472.348150718896</v>
      </c>
      <c r="C212" s="1246" t="n">
        <f aca="false">'[3]Monthly Curve Calc.'!C215</f>
        <v>241.838903844445</v>
      </c>
      <c r="D212" s="1246" t="n">
        <f aca="false">'[3]Monthly Curve Calc.'!D215</f>
        <v>186.134551819489</v>
      </c>
      <c r="E212" s="1246" t="n">
        <f aca="false">'[3]Monthly Curve Calc.'!E215</f>
        <v>22.955</v>
      </c>
      <c r="F212" s="1247" t="n">
        <f aca="false">'[3]Monthly Curve Calc.'!F215</f>
        <v>2.76492823407979</v>
      </c>
      <c r="G212" s="1255" t="n">
        <f aca="false">IF(AND($A212&gt;G$16,MONTH($A212)=MONTH(G$16)),B211/B199,G211)</f>
        <v>1.072</v>
      </c>
      <c r="H212" s="1253" t="n">
        <f aca="false">IF(AND($A212&gt;H$16,MONTH($A212)=MONTH(H$16)),C211/C199,H211)</f>
        <v>1.02521559082494</v>
      </c>
      <c r="I212" s="1253" t="n">
        <f aca="false">IF(AND($A212&gt;I$16,MONTH($A212)=MONTH(I$16)),C211/C199-I$18,I211)</f>
        <v>1.02271559082494</v>
      </c>
      <c r="J212" s="1253" t="n">
        <f aca="false">IF(AND($A212&gt;J$16,MONTH($A212)=MONTH(J$16)),D211/D199,J211)</f>
        <v>1.01641246702557</v>
      </c>
      <c r="K212" s="1253" t="n">
        <f aca="false">IF($A212&gt;=K$16,IF(MONTH($A212)=MONTH(K$16),AVERAGE(E200:E211),K211),K211)</f>
        <v>22.63</v>
      </c>
      <c r="L212" s="1256" t="n">
        <f aca="false">IF($A212&gt;=L$16,IF(MONTH($A212)=MONTH(L$16),AVERAGE(F200:F211),L211),L211)</f>
        <v>2.73545867373882</v>
      </c>
      <c r="M212" s="1215" t="n">
        <f aca="false">M211+1</f>
        <v>200</v>
      </c>
      <c r="N212" s="1252" t="n">
        <f aca="false">HLOOKUP(N$14,Dec_Change,$M212)</f>
        <v>1.02521559082494</v>
      </c>
      <c r="O212" s="1253" t="n">
        <f aca="false">O211</f>
        <v>1.005</v>
      </c>
      <c r="P212" s="1256" t="n">
        <f aca="false">IF(AND($A212&gt;=P$16,MONTH($A212)=MONTH(P$16)),MAX(N212,O212)*P211,P211)</f>
        <v>1.48180861051097</v>
      </c>
    </row>
    <row r="213" customFormat="false" ht="12.75" hidden="false" customHeight="false" outlineLevel="0" collapsed="false">
      <c r="A213" s="1254" t="n">
        <f aca="false">EDATE(A212,1)</f>
        <v>41306</v>
      </c>
      <c r="B213" s="1245" t="n">
        <f aca="false">'[3]Monthly Curve Calc.'!B216</f>
        <v>475.018875836533</v>
      </c>
      <c r="C213" s="1246" t="n">
        <f aca="false">'[3]Monthly Curve Calc.'!C216</f>
        <v>242.34006846648</v>
      </c>
      <c r="D213" s="1246" t="n">
        <f aca="false">'[3]Monthly Curve Calc.'!D216</f>
        <v>186.376788698151</v>
      </c>
      <c r="E213" s="1246" t="n">
        <f aca="false">'[3]Monthly Curve Calc.'!E216</f>
        <v>23.005</v>
      </c>
      <c r="F213" s="1247" t="n">
        <f aca="false">'[3]Monthly Curve Calc.'!F216</f>
        <v>2.76952370702894</v>
      </c>
      <c r="G213" s="1255" t="n">
        <f aca="false">IF(AND($A213&gt;G$16,MONTH($A213)=MONTH(G$16)),B212/B200,G212)</f>
        <v>1.072</v>
      </c>
      <c r="H213" s="1253" t="n">
        <f aca="false">IF(AND($A213&gt;H$16,MONTH($A213)=MONTH(H$16)),C212/C200,H212)</f>
        <v>1.02521559082494</v>
      </c>
      <c r="I213" s="1253" t="n">
        <f aca="false">IF(AND($A213&gt;I$16,MONTH($A213)=MONTH(I$16)),C212/C200-I$18,I212)</f>
        <v>1.02271559082494</v>
      </c>
      <c r="J213" s="1253" t="n">
        <f aca="false">IF(AND($A213&gt;J$16,MONTH($A213)=MONTH(J$16)),D212/D200,J212)</f>
        <v>1.01641246702557</v>
      </c>
      <c r="K213" s="1253" t="n">
        <f aca="false">IF($A213&gt;=K$16,IF(MONTH($A213)=MONTH(K$16),AVERAGE(E201:E212),K212),K212)</f>
        <v>22.63</v>
      </c>
      <c r="L213" s="1256" t="n">
        <f aca="false">IF($A213&gt;=L$16,IF(MONTH($A213)=MONTH(L$16),AVERAGE(F201:F212),L212),L212)</f>
        <v>2.73545867373882</v>
      </c>
      <c r="M213" s="1215" t="n">
        <f aca="false">M212+1</f>
        <v>201</v>
      </c>
      <c r="N213" s="1252" t="n">
        <f aca="false">HLOOKUP(N$14,Dec_Change,$M213)</f>
        <v>1.02521559082494</v>
      </c>
      <c r="O213" s="1253" t="n">
        <f aca="false">O212</f>
        <v>1.005</v>
      </c>
      <c r="P213" s="1256" t="n">
        <f aca="false">IF(AND($A213&gt;=P$16,MONTH($A213)=MONTH(P$16)),MAX(N213,O213)*P212,P212)</f>
        <v>1.48180861051097</v>
      </c>
    </row>
    <row r="214" customFormat="false" ht="12.75" hidden="false" customHeight="false" outlineLevel="0" collapsed="false">
      <c r="A214" s="1254" t="n">
        <f aca="false">EDATE(A213,1)</f>
        <v>41334</v>
      </c>
      <c r="B214" s="1245" t="n">
        <f aca="false">'[3]Monthly Curve Calc.'!B217</f>
        <v>477.704701622274</v>
      </c>
      <c r="C214" s="1246" t="n">
        <f aca="false">'[3]Monthly Curve Calc.'!C217</f>
        <v>242.84227165582</v>
      </c>
      <c r="D214" s="1246" t="n">
        <f aca="false">'[3]Monthly Curve Calc.'!D217</f>
        <v>186.619340825674</v>
      </c>
      <c r="E214" s="1246" t="n">
        <f aca="false">'[3]Monthly Curve Calc.'!E217</f>
        <v>23.055</v>
      </c>
      <c r="F214" s="1247" t="n">
        <f aca="false">'[3]Monthly Curve Calc.'!F217</f>
        <v>2.77412681792376</v>
      </c>
      <c r="G214" s="1255" t="n">
        <f aca="false">IF(AND($A214&gt;G$16,MONTH($A214)=MONTH(G$16)),B213/B201,G213)</f>
        <v>1.072</v>
      </c>
      <c r="H214" s="1253" t="n">
        <f aca="false">IF(AND($A214&gt;H$16,MONTH($A214)=MONTH(H$16)),C213/C201,H213)</f>
        <v>1.02521559082494</v>
      </c>
      <c r="I214" s="1253" t="n">
        <f aca="false">IF(AND($A214&gt;I$16,MONTH($A214)=MONTH(I$16)),C213/C201-I$18,I213)</f>
        <v>1.02271559082494</v>
      </c>
      <c r="J214" s="1253" t="n">
        <f aca="false">IF(AND($A214&gt;J$16,MONTH($A214)=MONTH(J$16)),D213/D201,J213)</f>
        <v>1.01641246702557</v>
      </c>
      <c r="K214" s="1253" t="n">
        <f aca="false">IF($A214&gt;=K$16,IF(MONTH($A214)=MONTH(K$16),AVERAGE(E202:E213),K213),K213)</f>
        <v>22.63</v>
      </c>
      <c r="L214" s="1256" t="n">
        <f aca="false">IF($A214&gt;=L$16,IF(MONTH($A214)=MONTH(L$16),AVERAGE(F202:F213),L213),L213)</f>
        <v>2.73545867373882</v>
      </c>
      <c r="M214" s="1215" t="n">
        <f aca="false">M213+1</f>
        <v>202</v>
      </c>
      <c r="N214" s="1252" t="n">
        <f aca="false">HLOOKUP(N$14,Dec_Change,$M214)</f>
        <v>1.02521559082494</v>
      </c>
      <c r="O214" s="1253" t="n">
        <f aca="false">O213</f>
        <v>1.005</v>
      </c>
      <c r="P214" s="1256" t="n">
        <f aca="false">IF(AND($A214&gt;=P$16,MONTH($A214)=MONTH(P$16)),MAX(N214,O214)*P213,P213)</f>
        <v>1.48180861051097</v>
      </c>
    </row>
    <row r="215" customFormat="false" ht="12.75" hidden="false" customHeight="false" outlineLevel="0" collapsed="false">
      <c r="A215" s="1254" t="n">
        <f aca="false">EDATE(A214,1)</f>
        <v>41365</v>
      </c>
      <c r="B215" s="1245" t="n">
        <f aca="false">'[3]Monthly Curve Calc.'!B218</f>
        <v>480.405713457494</v>
      </c>
      <c r="C215" s="1246" t="n">
        <f aca="false">'[3]Monthly Curve Calc.'!C218</f>
        <v>243.345515564694</v>
      </c>
      <c r="D215" s="1246" t="n">
        <f aca="false">'[3]Monthly Curve Calc.'!D218</f>
        <v>186.862208612325</v>
      </c>
      <c r="E215" s="1246" t="n">
        <f aca="false">'[3]Monthly Curve Calc.'!E218</f>
        <v>23.105</v>
      </c>
      <c r="F215" s="1247" t="n">
        <f aca="false">'[3]Monthly Curve Calc.'!F218</f>
        <v>2.77873757945897</v>
      </c>
      <c r="G215" s="1255" t="n">
        <f aca="false">IF(AND($A215&gt;G$16,MONTH($A215)=MONTH(G$16)),B214/B202,G214)</f>
        <v>1.072</v>
      </c>
      <c r="H215" s="1253" t="n">
        <f aca="false">IF(AND($A215&gt;H$16,MONTH($A215)=MONTH(H$16)),C214/C202,H214)</f>
        <v>1.02521559082494</v>
      </c>
      <c r="I215" s="1253" t="n">
        <f aca="false">IF(AND($A215&gt;I$16,MONTH($A215)=MONTH(I$16)),C214/C202-I$18,I214)</f>
        <v>1.02271559082494</v>
      </c>
      <c r="J215" s="1253" t="n">
        <f aca="false">IF(AND($A215&gt;J$16,MONTH($A215)=MONTH(J$16)),D214/D202,J214)</f>
        <v>1.01641246702557</v>
      </c>
      <c r="K215" s="1253" t="n">
        <f aca="false">IF($A215&gt;=K$16,IF(MONTH($A215)=MONTH(K$16),AVERAGE(E203:E214),K214),K214)</f>
        <v>22.63</v>
      </c>
      <c r="L215" s="1256" t="n">
        <f aca="false">IF($A215&gt;=L$16,IF(MONTH($A215)=MONTH(L$16),AVERAGE(F203:F214),L214),L214)</f>
        <v>2.73545867373882</v>
      </c>
      <c r="M215" s="1215" t="n">
        <f aca="false">M214+1</f>
        <v>203</v>
      </c>
      <c r="N215" s="1252" t="n">
        <f aca="false">HLOOKUP(N$14,Dec_Change,$M215)</f>
        <v>1.02521559082494</v>
      </c>
      <c r="O215" s="1253" t="n">
        <f aca="false">O214</f>
        <v>1.005</v>
      </c>
      <c r="P215" s="1256" t="n">
        <f aca="false">IF(AND($A215&gt;=P$16,MONTH($A215)=MONTH(P$16)),MAX(N215,O215)*P214,P214)</f>
        <v>1.48180861051097</v>
      </c>
    </row>
    <row r="216" customFormat="false" ht="12.75" hidden="false" customHeight="false" outlineLevel="0" collapsed="false">
      <c r="A216" s="1254" t="n">
        <f aca="false">EDATE(A215,1)</f>
        <v>41395</v>
      </c>
      <c r="B216" s="1245" t="n">
        <f aca="false">'[3]Monthly Curve Calc.'!B219</f>
        <v>483.121997206323</v>
      </c>
      <c r="C216" s="1246" t="n">
        <f aca="false">'[3]Monthly Curve Calc.'!C219</f>
        <v>243.849802349795</v>
      </c>
      <c r="D216" s="1246" t="n">
        <f aca="false">'[3]Monthly Curve Calc.'!D219</f>
        <v>187.105392468904</v>
      </c>
      <c r="E216" s="1246" t="n">
        <f aca="false">'[3]Monthly Curve Calc.'!E219</f>
        <v>23.155</v>
      </c>
      <c r="F216" s="1247" t="n">
        <f aca="false">'[3]Monthly Curve Calc.'!F219</f>
        <v>2.78335600435036</v>
      </c>
      <c r="G216" s="1255" t="n">
        <f aca="false">IF(AND($A216&gt;G$16,MONTH($A216)=MONTH(G$16)),B215/B203,G215)</f>
        <v>1.07133291830938</v>
      </c>
      <c r="H216" s="1253" t="n">
        <f aca="false">IF(AND($A216&gt;H$16,MONTH($A216)=MONTH(H$16)),C215/C203,H215)</f>
        <v>1.02510587272767</v>
      </c>
      <c r="I216" s="1253" t="n">
        <f aca="false">IF(AND($A216&gt;I$16,MONTH($A216)=MONTH(I$16)),C215/C203-I$18,I215)</f>
        <v>1.02260587272767</v>
      </c>
      <c r="J216" s="1253" t="n">
        <f aca="false">IF(AND($A216&gt;J$16,MONTH($A216)=MONTH(J$16)),D215/D203,J215)</f>
        <v>1.01641246702557</v>
      </c>
      <c r="K216" s="1253" t="n">
        <f aca="false">IF($A216&gt;=K$16,IF(MONTH($A216)=MONTH(K$16),AVERAGE(E204:E215),K215),K215)</f>
        <v>22.63</v>
      </c>
      <c r="L216" s="1256" t="n">
        <f aca="false">IF($A216&gt;=L$16,IF(MONTH($A216)=MONTH(L$16),AVERAGE(F204:F215),L215),L215)</f>
        <v>2.73545867373882</v>
      </c>
      <c r="M216" s="1215" t="n">
        <f aca="false">M215+1</f>
        <v>204</v>
      </c>
      <c r="N216" s="1252" t="n">
        <f aca="false">HLOOKUP(N$14,Dec_Change,$M216)</f>
        <v>1.02510587272767</v>
      </c>
      <c r="O216" s="1253" t="n">
        <f aca="false">O215</f>
        <v>1.005</v>
      </c>
      <c r="P216" s="1256" t="n">
        <f aca="false">IF(AND($A216&gt;=P$16,MONTH($A216)=MONTH(P$16)),MAX(N216,O216)*P215,P215)</f>
        <v>1.51901070889322</v>
      </c>
    </row>
    <row r="217" customFormat="false" ht="12.75" hidden="false" customHeight="false" outlineLevel="0" collapsed="false">
      <c r="A217" s="1254" t="n">
        <f aca="false">EDATE(A216,1)</f>
        <v>41426</v>
      </c>
      <c r="B217" s="1245" t="n">
        <f aca="false">'[3]Monthly Curve Calc.'!B220</f>
        <v>485.853639218381</v>
      </c>
      <c r="C217" s="1246" t="n">
        <f aca="false">'[3]Monthly Curve Calc.'!C220</f>
        <v>244.355134172282</v>
      </c>
      <c r="D217" s="1246" t="n">
        <f aca="false">'[3]Monthly Curve Calc.'!D220</f>
        <v>187.348892806748</v>
      </c>
      <c r="E217" s="1246" t="n">
        <f aca="false">'[3]Monthly Curve Calc.'!E220</f>
        <v>23.205</v>
      </c>
      <c r="F217" s="1247" t="n">
        <f aca="false">'[3]Monthly Curve Calc.'!F220</f>
        <v>2.7879821053349</v>
      </c>
      <c r="G217" s="1255" t="n">
        <f aca="false">IF(AND($A217&gt;G$16,MONTH($A217)=MONTH(G$16)),B216/B204,G216)</f>
        <v>1.07133291830938</v>
      </c>
      <c r="H217" s="1253" t="n">
        <f aca="false">IF(AND($A217&gt;H$16,MONTH($A217)=MONTH(H$16)),C216/C204,H216)</f>
        <v>1.02510587272767</v>
      </c>
      <c r="I217" s="1253" t="n">
        <f aca="false">IF(AND($A217&gt;I$16,MONTH($A217)=MONTH(I$16)),C216/C204-I$18,I216)</f>
        <v>1.02260587272767</v>
      </c>
      <c r="J217" s="1253" t="n">
        <f aca="false">IF(AND($A217&gt;J$16,MONTH($A217)=MONTH(J$16)),D216/D204,J216)</f>
        <v>1.01641246702557</v>
      </c>
      <c r="K217" s="1253" t="n">
        <f aca="false">IF($A217&gt;=K$16,IF(MONTH($A217)=MONTH(K$16),AVERAGE(E205:E216),K216),K216)</f>
        <v>22.63</v>
      </c>
      <c r="L217" s="1256" t="n">
        <f aca="false">IF($A217&gt;=L$16,IF(MONTH($A217)=MONTH(L$16),AVERAGE(F205:F216),L216),L216)</f>
        <v>2.73545867373882</v>
      </c>
      <c r="M217" s="1215" t="n">
        <f aca="false">M216+1</f>
        <v>205</v>
      </c>
      <c r="N217" s="1252" t="n">
        <f aca="false">HLOOKUP(N$14,Dec_Change,$M217)</f>
        <v>1.02510587272767</v>
      </c>
      <c r="O217" s="1253" t="n">
        <f aca="false">O216</f>
        <v>1.005</v>
      </c>
      <c r="P217" s="1256" t="n">
        <f aca="false">IF(AND($A217&gt;=P$16,MONTH($A217)=MONTH(P$16)),MAX(N217,O217)*P216,P216)</f>
        <v>1.51901070889322</v>
      </c>
    </row>
    <row r="218" customFormat="false" ht="12.75" hidden="false" customHeight="false" outlineLevel="0" collapsed="false">
      <c r="A218" s="1254" t="n">
        <f aca="false">EDATE(A217,1)</f>
        <v>41456</v>
      </c>
      <c r="B218" s="1245" t="n">
        <f aca="false">'[3]Monthly Curve Calc.'!B221</f>
        <v>488.600726331521</v>
      </c>
      <c r="C218" s="1246" t="n">
        <f aca="false">'[3]Monthly Curve Calc.'!C221</f>
        <v>244.861513197794</v>
      </c>
      <c r="D218" s="1246" t="n">
        <f aca="false">'[3]Monthly Curve Calc.'!D221</f>
        <v>187.592710037728</v>
      </c>
      <c r="E218" s="1246" t="n">
        <f aca="false">'[3]Monthly Curve Calc.'!E221</f>
        <v>23.2550000000001</v>
      </c>
      <c r="F218" s="1247" t="n">
        <f aca="false">'[3]Monthly Curve Calc.'!F221</f>
        <v>2.7926158951707</v>
      </c>
      <c r="G218" s="1255" t="n">
        <f aca="false">IF(AND($A218&gt;G$16,MONTH($A218)=MONTH(G$16)),B217/B205,G217)</f>
        <v>1.07133291830938</v>
      </c>
      <c r="H218" s="1253" t="n">
        <f aca="false">IF(AND($A218&gt;H$16,MONTH($A218)=MONTH(H$16)),C217/C205,H217)</f>
        <v>1.02510587272767</v>
      </c>
      <c r="I218" s="1253" t="n">
        <f aca="false">IF(AND($A218&gt;I$16,MONTH($A218)=MONTH(I$16)),C217/C205-I$18,I217)</f>
        <v>1.02260587272767</v>
      </c>
      <c r="J218" s="1253" t="n">
        <f aca="false">IF(AND($A218&gt;J$16,MONTH($A218)=MONTH(J$16)),D217/D205,J217)</f>
        <v>1.01641246702557</v>
      </c>
      <c r="K218" s="1253" t="n">
        <f aca="false">IF($A218&gt;=K$16,IF(MONTH($A218)=MONTH(K$16),AVERAGE(E206:E217),K217),K217)</f>
        <v>22.63</v>
      </c>
      <c r="L218" s="1256" t="n">
        <f aca="false">IF($A218&gt;=L$16,IF(MONTH($A218)=MONTH(L$16),AVERAGE(F206:F217),L217),L217)</f>
        <v>2.73545867373882</v>
      </c>
      <c r="M218" s="1215" t="n">
        <f aca="false">M217+1</f>
        <v>206</v>
      </c>
      <c r="N218" s="1252" t="n">
        <f aca="false">HLOOKUP(N$14,Dec_Change,$M218)</f>
        <v>1.02510587272767</v>
      </c>
      <c r="O218" s="1253" t="n">
        <f aca="false">O217</f>
        <v>1.005</v>
      </c>
      <c r="P218" s="1256" t="n">
        <f aca="false">IF(AND($A218&gt;=P$16,MONTH($A218)=MONTH(P$16)),MAX(N218,O218)*P217,P217)</f>
        <v>1.51901070889322</v>
      </c>
    </row>
    <row r="219" customFormat="false" ht="12.75" hidden="false" customHeight="false" outlineLevel="0" collapsed="false">
      <c r="A219" s="1254" t="n">
        <f aca="false">EDATE(A218,1)</f>
        <v>41487</v>
      </c>
      <c r="B219" s="1245" t="n">
        <f aca="false">'[3]Monthly Curve Calc.'!B222</f>
        <v>491.363345874592</v>
      </c>
      <c r="C219" s="1246" t="n">
        <f aca="false">'[3]Monthly Curve Calc.'!C222</f>
        <v>245.368941596459</v>
      </c>
      <c r="D219" s="1246" t="n">
        <f aca="false">'[3]Monthly Curve Calc.'!D222</f>
        <v>187.836844574251</v>
      </c>
      <c r="E219" s="1246" t="n">
        <f aca="false">'[3]Monthly Curve Calc.'!E222</f>
        <v>23.3050000000001</v>
      </c>
      <c r="F219" s="1247" t="n">
        <f aca="false">'[3]Monthly Curve Calc.'!F222</f>
        <v>2.79725738663708</v>
      </c>
      <c r="G219" s="1255" t="n">
        <f aca="false">IF(AND($A219&gt;G$16,MONTH($A219)=MONTH(G$16)),B218/B206,G218)</f>
        <v>1.07133291830938</v>
      </c>
      <c r="H219" s="1253" t="n">
        <f aca="false">IF(AND($A219&gt;H$16,MONTH($A219)=MONTH(H$16)),C218/C206,H218)</f>
        <v>1.02510587272767</v>
      </c>
      <c r="I219" s="1253" t="n">
        <f aca="false">IF(AND($A219&gt;I$16,MONTH($A219)=MONTH(I$16)),C218/C206-I$18,I218)</f>
        <v>1.02260587272767</v>
      </c>
      <c r="J219" s="1253" t="n">
        <f aca="false">IF(AND($A219&gt;J$16,MONTH($A219)=MONTH(J$16)),D218/D206,J218)</f>
        <v>1.01641246702557</v>
      </c>
      <c r="K219" s="1253" t="n">
        <f aca="false">IF($A219&gt;=K$16,IF(MONTH($A219)=MONTH(K$16),AVERAGE(E207:E218),K218),K218)</f>
        <v>22.63</v>
      </c>
      <c r="L219" s="1256" t="n">
        <f aca="false">IF($A219&gt;=L$16,IF(MONTH($A219)=MONTH(L$16),AVERAGE(F207:F218),L218),L218)</f>
        <v>2.73545867373882</v>
      </c>
      <c r="M219" s="1215" t="n">
        <f aca="false">M218+1</f>
        <v>207</v>
      </c>
      <c r="N219" s="1252" t="n">
        <f aca="false">HLOOKUP(N$14,Dec_Change,$M219)</f>
        <v>1.02510587272767</v>
      </c>
      <c r="O219" s="1253" t="n">
        <f aca="false">O218</f>
        <v>1.005</v>
      </c>
      <c r="P219" s="1256" t="n">
        <f aca="false">IF(AND($A219&gt;=P$16,MONTH($A219)=MONTH(P$16)),MAX(N219,O219)*P218,P218)</f>
        <v>1.51901070889322</v>
      </c>
    </row>
    <row r="220" customFormat="false" ht="12.75" hidden="false" customHeight="false" outlineLevel="0" collapsed="false">
      <c r="A220" s="1254" t="n">
        <f aca="false">EDATE(A219,1)</f>
        <v>41518</v>
      </c>
      <c r="B220" s="1245" t="n">
        <f aca="false">'[3]Monthly Curve Calc.'!B223</f>
        <v>494.141585670208</v>
      </c>
      <c r="C220" s="1246" t="n">
        <f aca="false">'[3]Monthly Curve Calc.'!C223</f>
        <v>245.877421542901</v>
      </c>
      <c r="D220" s="1246" t="n">
        <f aca="false">'[3]Monthly Curve Calc.'!D223</f>
        <v>188.08129682926</v>
      </c>
      <c r="E220" s="1246" t="n">
        <f aca="false">'[3]Monthly Curve Calc.'!E223</f>
        <v>23.3550000000001</v>
      </c>
      <c r="F220" s="1247" t="n">
        <f aca="false">'[3]Monthly Curve Calc.'!F223</f>
        <v>2.8019065925346</v>
      </c>
      <c r="G220" s="1255" t="n">
        <f aca="false">IF(AND($A220&gt;G$16,MONTH($A220)=MONTH(G$16)),B219/B207,G219)</f>
        <v>1.07133291830938</v>
      </c>
      <c r="H220" s="1253" t="n">
        <f aca="false">IF(AND($A220&gt;H$16,MONTH($A220)=MONTH(H$16)),C219/C207,H219)</f>
        <v>1.02510587272767</v>
      </c>
      <c r="I220" s="1253" t="n">
        <f aca="false">IF(AND($A220&gt;I$16,MONTH($A220)=MONTH(I$16)),C219/C207-I$18,I219)</f>
        <v>1.02260587272767</v>
      </c>
      <c r="J220" s="1253" t="n">
        <f aca="false">IF(AND($A220&gt;J$16,MONTH($A220)=MONTH(J$16)),D219/D207,J219)</f>
        <v>1.01641246702557</v>
      </c>
      <c r="K220" s="1253" t="n">
        <f aca="false">IF($A220&gt;=K$16,IF(MONTH($A220)=MONTH(K$16),AVERAGE(E208:E219),K219),K219)</f>
        <v>22.63</v>
      </c>
      <c r="L220" s="1256" t="n">
        <f aca="false">IF($A220&gt;=L$16,IF(MONTH($A220)=MONTH(L$16),AVERAGE(F208:F219),L219),L219)</f>
        <v>2.73545867373882</v>
      </c>
      <c r="M220" s="1215" t="n">
        <f aca="false">M219+1</f>
        <v>208</v>
      </c>
      <c r="N220" s="1252" t="n">
        <f aca="false">HLOOKUP(N$14,Dec_Change,$M220)</f>
        <v>1.02510587272767</v>
      </c>
      <c r="O220" s="1253" t="n">
        <f aca="false">O219</f>
        <v>1.005</v>
      </c>
      <c r="P220" s="1256" t="n">
        <f aca="false">IF(AND($A220&gt;=P$16,MONTH($A220)=MONTH(P$16)),MAX(N220,O220)*P219,P219)</f>
        <v>1.51901070889322</v>
      </c>
    </row>
    <row r="221" customFormat="false" ht="12.75" hidden="false" customHeight="false" outlineLevel="0" collapsed="false">
      <c r="A221" s="1254" t="n">
        <f aca="false">EDATE(A220,1)</f>
        <v>41548</v>
      </c>
      <c r="B221" s="1245" t="n">
        <f aca="false">'[3]Monthly Curve Calc.'!B224</f>
        <v>496.935534037551</v>
      </c>
      <c r="C221" s="1246" t="n">
        <f aca="false">'[3]Monthly Curve Calc.'!C224</f>
        <v>246.38695521625</v>
      </c>
      <c r="D221" s="1246" t="n">
        <f aca="false">'[3]Monthly Curve Calc.'!D224</f>
        <v>188.326067216237</v>
      </c>
      <c r="E221" s="1246" t="n">
        <f aca="false">'[3]Monthly Curve Calc.'!E224</f>
        <v>23.4050000000001</v>
      </c>
      <c r="F221" s="1247" t="n">
        <f aca="false">'[3]Monthly Curve Calc.'!F224</f>
        <v>2.80656352568511</v>
      </c>
      <c r="G221" s="1255" t="n">
        <f aca="false">IF(AND($A221&gt;G$16,MONTH($A221)=MONTH(G$16)),B220/B208,G220)</f>
        <v>1.07133291830938</v>
      </c>
      <c r="H221" s="1253" t="n">
        <f aca="false">IF(AND($A221&gt;H$16,MONTH($A221)=MONTH(H$16)),C220/C208,H220)</f>
        <v>1.02510587272767</v>
      </c>
      <c r="I221" s="1253" t="n">
        <f aca="false">IF(AND($A221&gt;I$16,MONTH($A221)=MONTH(I$16)),C220/C208-I$18,I220)</f>
        <v>1.02260587272767</v>
      </c>
      <c r="J221" s="1253" t="n">
        <f aca="false">IF(AND($A221&gt;J$16,MONTH($A221)=MONTH(J$16)),D220/D208,J220)</f>
        <v>1.01641246702557</v>
      </c>
      <c r="K221" s="1253" t="n">
        <f aca="false">IF($A221&gt;=K$16,IF(MONTH($A221)=MONTH(K$16),AVERAGE(E209:E220),K220),K220)</f>
        <v>22.63</v>
      </c>
      <c r="L221" s="1256" t="n">
        <f aca="false">IF($A221&gt;=L$16,IF(MONTH($A221)=MONTH(L$16),AVERAGE(F209:F220),L220),L220)</f>
        <v>2.73545867373882</v>
      </c>
      <c r="M221" s="1215" t="n">
        <f aca="false">M220+1</f>
        <v>209</v>
      </c>
      <c r="N221" s="1252" t="n">
        <f aca="false">HLOOKUP(N$14,Dec_Change,$M221)</f>
        <v>1.02510587272767</v>
      </c>
      <c r="O221" s="1253" t="n">
        <f aca="false">O220</f>
        <v>1.005</v>
      </c>
      <c r="P221" s="1256" t="n">
        <f aca="false">IF(AND($A221&gt;=P$16,MONTH($A221)=MONTH(P$16)),MAX(N221,O221)*P220,P220)</f>
        <v>1.51901070889322</v>
      </c>
    </row>
    <row r="222" customFormat="false" ht="12.75" hidden="false" customHeight="false" outlineLevel="0" collapsed="false">
      <c r="A222" s="1254" t="n">
        <f aca="false">EDATE(A221,1)</f>
        <v>41579</v>
      </c>
      <c r="B222" s="1245" t="n">
        <f aca="false">'[3]Monthly Curve Calc.'!B225</f>
        <v>499.745279795167</v>
      </c>
      <c r="C222" s="1246" t="n">
        <f aca="false">'[3]Monthly Curve Calc.'!C225</f>
        <v>246.897544800153</v>
      </c>
      <c r="D222" s="1246" t="n">
        <f aca="false">'[3]Monthly Curve Calc.'!D225</f>
        <v>188.571156149201</v>
      </c>
      <c r="E222" s="1246" t="n">
        <f aca="false">'[3]Monthly Curve Calc.'!E225</f>
        <v>23.4550000000001</v>
      </c>
      <c r="F222" s="1247" t="n">
        <f aca="false">'[3]Monthly Curve Calc.'!F225</f>
        <v>2.81122819893174</v>
      </c>
      <c r="G222" s="1255" t="n">
        <f aca="false">IF(AND($A222&gt;G$16,MONTH($A222)=MONTH(G$16)),B221/B209,G221)</f>
        <v>1.07133291830938</v>
      </c>
      <c r="H222" s="1253" t="n">
        <f aca="false">IF(AND($A222&gt;H$16,MONTH($A222)=MONTH(H$16)),C221/C209,H221)</f>
        <v>1.02510587272767</v>
      </c>
      <c r="I222" s="1253" t="n">
        <f aca="false">IF(AND($A222&gt;I$16,MONTH($A222)=MONTH(I$16)),C221/C209-I$18,I221)</f>
        <v>1.02260587272767</v>
      </c>
      <c r="J222" s="1253" t="n">
        <f aca="false">IF(AND($A222&gt;J$16,MONTH($A222)=MONTH(J$16)),D221/D209,J221)</f>
        <v>1.01641246702557</v>
      </c>
      <c r="K222" s="1253" t="n">
        <f aca="false">IF($A222&gt;=K$16,IF(MONTH($A222)=MONTH(K$16),AVERAGE(E210:E221),K221),K221)</f>
        <v>22.63</v>
      </c>
      <c r="L222" s="1256" t="n">
        <f aca="false">IF($A222&gt;=L$16,IF(MONTH($A222)=MONTH(L$16),AVERAGE(F210:F221),L221),L221)</f>
        <v>2.73545867373882</v>
      </c>
      <c r="M222" s="1215" t="n">
        <f aca="false">M221+1</f>
        <v>210</v>
      </c>
      <c r="N222" s="1252" t="n">
        <f aca="false">HLOOKUP(N$14,Dec_Change,$M222)</f>
        <v>1.02510587272767</v>
      </c>
      <c r="O222" s="1253" t="n">
        <f aca="false">O221</f>
        <v>1.005</v>
      </c>
      <c r="P222" s="1256" t="n">
        <f aca="false">IF(AND($A222&gt;=P$16,MONTH($A222)=MONTH(P$16)),MAX(N222,O222)*P221,P221)</f>
        <v>1.51901070889322</v>
      </c>
    </row>
    <row r="223" customFormat="false" ht="12.75" hidden="false" customHeight="false" outlineLevel="0" collapsed="false">
      <c r="A223" s="1254" t="n">
        <f aca="false">EDATE(A222,1)</f>
        <v>41609</v>
      </c>
      <c r="B223" s="1245" t="n">
        <f aca="false">'[3]Monthly Curve Calc.'!B226</f>
        <v>502.570912263798</v>
      </c>
      <c r="C223" s="1246" t="n">
        <f aca="false">'[3]Monthly Curve Calc.'!C226</f>
        <v>247.40919248278</v>
      </c>
      <c r="D223" s="1246" t="n">
        <f aca="false">'[3]Monthly Curve Calc.'!D226</f>
        <v>188.816564042711</v>
      </c>
      <c r="E223" s="1246" t="n">
        <f aca="false">'[3]Monthly Curve Calc.'!E226</f>
        <v>23.5050000000001</v>
      </c>
      <c r="F223" s="1247" t="n">
        <f aca="false">'[3]Monthly Curve Calc.'!F226</f>
        <v>2.81590062513899</v>
      </c>
      <c r="G223" s="1255" t="n">
        <f aca="false">IF(AND($A223&gt;G$16,MONTH($A223)=MONTH(G$16)),B222/B210,G222)</f>
        <v>1.07133291830938</v>
      </c>
      <c r="H223" s="1253" t="n">
        <f aca="false">IF(AND($A223&gt;H$16,MONTH($A223)=MONTH(H$16)),C222/C210,H222)</f>
        <v>1.02510587272767</v>
      </c>
      <c r="I223" s="1253" t="n">
        <f aca="false">IF(AND($A223&gt;I$16,MONTH($A223)=MONTH(I$16)),C222/C210-I$18,I222)</f>
        <v>1.02260587272767</v>
      </c>
      <c r="J223" s="1253" t="n">
        <f aca="false">IF(AND($A223&gt;J$16,MONTH($A223)=MONTH(J$16)),D222/D210,J222)</f>
        <v>1.01641246702557</v>
      </c>
      <c r="K223" s="1253" t="n">
        <f aca="false">IF($A223&gt;=K$16,IF(MONTH($A223)=MONTH(K$16),AVERAGE(E211:E222),K222),K222)</f>
        <v>22.63</v>
      </c>
      <c r="L223" s="1256" t="n">
        <f aca="false">IF($A223&gt;=L$16,IF(MONTH($A223)=MONTH(L$16),AVERAGE(F211:F222),L222),L222)</f>
        <v>2.73545867373882</v>
      </c>
      <c r="M223" s="1215" t="n">
        <f aca="false">M222+1</f>
        <v>211</v>
      </c>
      <c r="N223" s="1252" t="n">
        <f aca="false">HLOOKUP(N$14,Dec_Change,$M223)</f>
        <v>1.02510587272767</v>
      </c>
      <c r="O223" s="1253" t="n">
        <f aca="false">O222</f>
        <v>1.005</v>
      </c>
      <c r="P223" s="1256" t="n">
        <f aca="false">IF(AND($A223&gt;=P$16,MONTH($A223)=MONTH(P$16)),MAX(N223,O223)*P222,P222)</f>
        <v>1.51901070889322</v>
      </c>
    </row>
    <row r="224" customFormat="false" ht="12.75" hidden="false" customHeight="false" outlineLevel="0" collapsed="false">
      <c r="A224" s="1254" t="n">
        <f aca="false">EDATE(A223,1)</f>
        <v>41640</v>
      </c>
      <c r="B224" s="1245" t="n">
        <f aca="false">'[3]Monthly Curve Calc.'!B227</f>
        <v>505.412521269219</v>
      </c>
      <c r="C224" s="1246" t="n">
        <f aca="false">'[3]Monthly Curve Calc.'!C227</f>
        <v>247.929036811111</v>
      </c>
      <c r="D224" s="1246" t="n">
        <f aca="false">'[3]Monthly Curve Calc.'!D227</f>
        <v>189.060417070838</v>
      </c>
      <c r="E224" s="1246" t="n">
        <f aca="false">'[3]Monthly Curve Calc.'!E227</f>
        <v>23.5550000000001</v>
      </c>
      <c r="F224" s="1247" t="n">
        <f aca="false">'[3]Monthly Curve Calc.'!F227</f>
        <v>2.82055022749078</v>
      </c>
      <c r="G224" s="1255" t="n">
        <f aca="false">IF(AND($A224&gt;G$16,MONTH($A224)=MONTH(G$16)),B223/B211,G223)</f>
        <v>1.07133291830938</v>
      </c>
      <c r="H224" s="1253" t="n">
        <f aca="false">IF(AND($A224&gt;H$16,MONTH($A224)=MONTH(H$16)),C223/C211,H223)</f>
        <v>1.02510587272767</v>
      </c>
      <c r="I224" s="1253" t="n">
        <f aca="false">IF(AND($A224&gt;I$16,MONTH($A224)=MONTH(I$16)),C223/C211-I$18,I223)</f>
        <v>1.02260587272767</v>
      </c>
      <c r="J224" s="1253" t="n">
        <f aca="false">IF(AND($A224&gt;J$16,MONTH($A224)=MONTH(J$16)),D223/D211,J223)</f>
        <v>1.01572915648253</v>
      </c>
      <c r="K224" s="1253" t="n">
        <f aca="false">IF($A224&gt;=K$16,IF(MONTH($A224)=MONTH(K$16),AVERAGE(E212:E223),K223),K223)</f>
        <v>23.2300000000001</v>
      </c>
      <c r="L224" s="1256" t="n">
        <f aca="false">IF($A224&gt;=L$16,IF(MONTH($A224)=MONTH(L$16),AVERAGE(F212:F223),L223),L223)</f>
        <v>2.79034388935625</v>
      </c>
      <c r="M224" s="1215" t="n">
        <f aca="false">M223+1</f>
        <v>212</v>
      </c>
      <c r="N224" s="1252" t="n">
        <f aca="false">HLOOKUP(N$14,Dec_Change,$M224)</f>
        <v>1.02510587272767</v>
      </c>
      <c r="O224" s="1253" t="n">
        <f aca="false">O223</f>
        <v>1.005</v>
      </c>
      <c r="P224" s="1256" t="n">
        <f aca="false">IF(AND($A224&gt;=P$16,MONTH($A224)=MONTH(P$16)),MAX(N224,O224)*P223,P223)</f>
        <v>1.51901070889322</v>
      </c>
    </row>
    <row r="225" customFormat="false" ht="12.75" hidden="false" customHeight="false" outlineLevel="0" collapsed="false">
      <c r="A225" s="1254" t="n">
        <f aca="false">EDATE(A224,1)</f>
        <v>41671</v>
      </c>
      <c r="B225" s="1245" t="n">
        <f aca="false">'[3]Monthly Curve Calc.'!B228</f>
        <v>508.27019714509</v>
      </c>
      <c r="C225" s="1246" t="n">
        <f aca="false">'[3]Monthly Curve Calc.'!C228</f>
        <v>248.44997341141</v>
      </c>
      <c r="D225" s="1246" t="n">
        <f aca="false">'[3]Monthly Curve Calc.'!D228</f>
        <v>189.304585030547</v>
      </c>
      <c r="E225" s="1246" t="n">
        <f aca="false">'[3]Monthly Curve Calc.'!E228</f>
        <v>23.6050000000001</v>
      </c>
      <c r="F225" s="1247" t="n">
        <f aca="false">'[3]Monthly Curve Calc.'!F228</f>
        <v>2.82520750724491</v>
      </c>
      <c r="G225" s="1255" t="n">
        <f aca="false">IF(AND($A225&gt;G$16,MONTH($A225)=MONTH(G$16)),B224/B212,G224)</f>
        <v>1.07133291830938</v>
      </c>
      <c r="H225" s="1253" t="n">
        <f aca="false">IF(AND($A225&gt;H$16,MONTH($A225)=MONTH(H$16)),C224/C212,H224)</f>
        <v>1.02510587272767</v>
      </c>
      <c r="I225" s="1253" t="n">
        <f aca="false">IF(AND($A225&gt;I$16,MONTH($A225)=MONTH(I$16)),C224/C212-I$18,I224)</f>
        <v>1.02260587272767</v>
      </c>
      <c r="J225" s="1253" t="n">
        <f aca="false">IF(AND($A225&gt;J$16,MONTH($A225)=MONTH(J$16)),D224/D212,J224)</f>
        <v>1.01572915648253</v>
      </c>
      <c r="K225" s="1253" t="n">
        <f aca="false">IF($A225&gt;=K$16,IF(MONTH($A225)=MONTH(K$16),AVERAGE(E213:E224),K224),K224)</f>
        <v>23.2300000000001</v>
      </c>
      <c r="L225" s="1256" t="n">
        <f aca="false">IF($A225&gt;=L$16,IF(MONTH($A225)=MONTH(L$16),AVERAGE(F213:F224),L224),L224)</f>
        <v>2.79034388935625</v>
      </c>
      <c r="M225" s="1215" t="n">
        <f aca="false">M224+1</f>
        <v>213</v>
      </c>
      <c r="N225" s="1252" t="n">
        <f aca="false">HLOOKUP(N$14,Dec_Change,$M225)</f>
        <v>1.02510587272767</v>
      </c>
      <c r="O225" s="1253" t="n">
        <f aca="false">O224</f>
        <v>1.005</v>
      </c>
      <c r="P225" s="1256" t="n">
        <f aca="false">IF(AND($A225&gt;=P$16,MONTH($A225)=MONTH(P$16)),MAX(N225,O225)*P224,P224)</f>
        <v>1.51901070889322</v>
      </c>
    </row>
    <row r="226" customFormat="false" ht="12.75" hidden="false" customHeight="false" outlineLevel="0" collapsed="false">
      <c r="A226" s="1254" t="n">
        <f aca="false">EDATE(A225,1)</f>
        <v>41699</v>
      </c>
      <c r="B226" s="1245" t="n">
        <f aca="false">'[3]Monthly Curve Calc.'!B229</f>
        <v>511.144030735834</v>
      </c>
      <c r="C226" s="1246" t="n">
        <f aca="false">'[3]Monthly Curve Calc.'!C229</f>
        <v>248.972004578708</v>
      </c>
      <c r="D226" s="1246" t="n">
        <f aca="false">'[3]Monthly Curve Calc.'!D229</f>
        <v>189.549068328567</v>
      </c>
      <c r="E226" s="1246" t="n">
        <f aca="false">'[3]Monthly Curve Calc.'!E229</f>
        <v>23.6550000000001</v>
      </c>
      <c r="F226" s="1247" t="n">
        <f aca="false">'[3]Monthly Curve Calc.'!F229</f>
        <v>2.82987247707826</v>
      </c>
      <c r="G226" s="1255" t="n">
        <f aca="false">IF(AND($A226&gt;G$16,MONTH($A226)=MONTH(G$16)),B225/B213,G225)</f>
        <v>1.07133291830938</v>
      </c>
      <c r="H226" s="1253" t="n">
        <f aca="false">IF(AND($A226&gt;H$16,MONTH($A226)=MONTH(H$16)),C225/C213,H225)</f>
        <v>1.02510587272767</v>
      </c>
      <c r="I226" s="1253" t="n">
        <f aca="false">IF(AND($A226&gt;I$16,MONTH($A226)=MONTH(I$16)),C225/C213-I$18,I225)</f>
        <v>1.02260587272767</v>
      </c>
      <c r="J226" s="1253" t="n">
        <f aca="false">IF(AND($A226&gt;J$16,MONTH($A226)=MONTH(J$16)),D225/D213,J225)</f>
        <v>1.01572915648253</v>
      </c>
      <c r="K226" s="1253" t="n">
        <f aca="false">IF($A226&gt;=K$16,IF(MONTH($A226)=MONTH(K$16),AVERAGE(E214:E225),K225),K225)</f>
        <v>23.2300000000001</v>
      </c>
      <c r="L226" s="1256" t="n">
        <f aca="false">IF($A226&gt;=L$16,IF(MONTH($A226)=MONTH(L$16),AVERAGE(F214:F225),L225),L225)</f>
        <v>2.79034388935625</v>
      </c>
      <c r="M226" s="1215" t="n">
        <f aca="false">M225+1</f>
        <v>214</v>
      </c>
      <c r="N226" s="1252" t="n">
        <f aca="false">HLOOKUP(N$14,Dec_Change,$M226)</f>
        <v>1.02510587272767</v>
      </c>
      <c r="O226" s="1253" t="n">
        <f aca="false">O225</f>
        <v>1.005</v>
      </c>
      <c r="P226" s="1256" t="n">
        <f aca="false">IF(AND($A226&gt;=P$16,MONTH($A226)=MONTH(P$16)),MAX(N226,O226)*P225,P225)</f>
        <v>1.51901070889322</v>
      </c>
    </row>
    <row r="227" customFormat="false" ht="12.75" hidden="false" customHeight="false" outlineLevel="0" collapsed="false">
      <c r="A227" s="1254" t="n">
        <f aca="false">EDATE(A226,1)</f>
        <v>41730</v>
      </c>
      <c r="B227" s="1245" t="n">
        <f aca="false">'[3]Monthly Curve Calc.'!B230</f>
        <v>514.034113399518</v>
      </c>
      <c r="C227" s="1246" t="n">
        <f aca="false">'[3]Monthly Curve Calc.'!C230</f>
        <v>249.495132612855</v>
      </c>
      <c r="D227" s="1246" t="n">
        <f aca="false">'[3]Monthly Curve Calc.'!D230</f>
        <v>189.793867372152</v>
      </c>
      <c r="E227" s="1246" t="n">
        <f aca="false">'[3]Monthly Curve Calc.'!E230</f>
        <v>23.7050000000001</v>
      </c>
      <c r="F227" s="1247" t="n">
        <f aca="false">'[3]Monthly Curve Calc.'!F230</f>
        <v>2.83454514968866</v>
      </c>
      <c r="G227" s="1255" t="n">
        <f aca="false">IF(AND($A227&gt;G$16,MONTH($A227)=MONTH(G$16)),B226/B214,G226)</f>
        <v>1.07133291830938</v>
      </c>
      <c r="H227" s="1253" t="n">
        <f aca="false">IF(AND($A227&gt;H$16,MONTH($A227)=MONTH(H$16)),C226/C214,H226)</f>
        <v>1.02510587272767</v>
      </c>
      <c r="I227" s="1253" t="n">
        <f aca="false">IF(AND($A227&gt;I$16,MONTH($A227)=MONTH(I$16)),C226/C214-I$18,I226)</f>
        <v>1.02260587272767</v>
      </c>
      <c r="J227" s="1253" t="n">
        <f aca="false">IF(AND($A227&gt;J$16,MONTH($A227)=MONTH(J$16)),D226/D214,J226)</f>
        <v>1.01572915648253</v>
      </c>
      <c r="K227" s="1253" t="n">
        <f aca="false">IF($A227&gt;=K$16,IF(MONTH($A227)=MONTH(K$16),AVERAGE(E215:E226),K226),K226)</f>
        <v>23.2300000000001</v>
      </c>
      <c r="L227" s="1256" t="n">
        <f aca="false">IF($A227&gt;=L$16,IF(MONTH($A227)=MONTH(L$16),AVERAGE(F215:F226),L226),L226)</f>
        <v>2.79034388935625</v>
      </c>
      <c r="M227" s="1215" t="n">
        <f aca="false">M226+1</f>
        <v>215</v>
      </c>
      <c r="N227" s="1252" t="n">
        <f aca="false">HLOOKUP(N$14,Dec_Change,$M227)</f>
        <v>1.02510587272767</v>
      </c>
      <c r="O227" s="1253" t="n">
        <f aca="false">O226</f>
        <v>1.005</v>
      </c>
      <c r="P227" s="1256" t="n">
        <f aca="false">IF(AND($A227&gt;=P$16,MONTH($A227)=MONTH(P$16)),MAX(N227,O227)*P226,P226)</f>
        <v>1.51901070889322</v>
      </c>
    </row>
    <row r="228" customFormat="false" ht="12.75" hidden="false" customHeight="false" outlineLevel="0" collapsed="false">
      <c r="A228" s="1254" t="n">
        <f aca="false">EDATE(A227,1)</f>
        <v>41760</v>
      </c>
      <c r="B228" s="1245" t="n">
        <f aca="false">'[3]Monthly Curve Calc.'!B231</f>
        <v>516.940537010765</v>
      </c>
      <c r="C228" s="1246" t="n">
        <f aca="false">'[3]Monthly Curve Calc.'!C231</f>
        <v>250.019359818535</v>
      </c>
      <c r="D228" s="1246" t="n">
        <f aca="false">'[3]Monthly Curve Calc.'!D231</f>
        <v>190.03898256908</v>
      </c>
      <c r="E228" s="1246" t="n">
        <f aca="false">'[3]Monthly Curve Calc.'!E231</f>
        <v>23.7550000000001</v>
      </c>
      <c r="F228" s="1247" t="n">
        <f aca="false">'[3]Monthly Curve Calc.'!F231</f>
        <v>2.8392255377949</v>
      </c>
      <c r="G228" s="1255" t="n">
        <f aca="false">IF(AND($A228&gt;G$16,MONTH($A228)=MONTH(G$16)),B227/B215,G227)</f>
        <v>1.07</v>
      </c>
      <c r="H228" s="1253" t="n">
        <f aca="false">IF(AND($A228&gt;H$16,MONTH($A228)=MONTH(H$16)),C227/C215,H227)</f>
        <v>1.02527113365492</v>
      </c>
      <c r="I228" s="1253" t="n">
        <f aca="false">IF(AND($A228&gt;I$16,MONTH($A228)=MONTH(I$16)),C227/C215-I$18,I227)</f>
        <v>1.02277113365492</v>
      </c>
      <c r="J228" s="1253" t="n">
        <f aca="false">IF(AND($A228&gt;J$16,MONTH($A228)=MONTH(J$16)),D227/D215,J227)</f>
        <v>1.01572915648253</v>
      </c>
      <c r="K228" s="1253" t="n">
        <f aca="false">IF($A228&gt;=K$16,IF(MONTH($A228)=MONTH(K$16),AVERAGE(E216:E227),K227),K227)</f>
        <v>23.2300000000001</v>
      </c>
      <c r="L228" s="1256" t="n">
        <f aca="false">IF($A228&gt;=L$16,IF(MONTH($A228)=MONTH(L$16),AVERAGE(F216:F227),L227),L227)</f>
        <v>2.79034388935625</v>
      </c>
      <c r="M228" s="1215" t="n">
        <f aca="false">M227+1</f>
        <v>216</v>
      </c>
      <c r="N228" s="1252" t="n">
        <f aca="false">HLOOKUP(N$14,Dec_Change,$M228)</f>
        <v>1.02527113365492</v>
      </c>
      <c r="O228" s="1253" t="n">
        <f aca="false">O227</f>
        <v>1.005</v>
      </c>
      <c r="P228" s="1256" t="n">
        <f aca="false">IF(AND($A228&gt;=P$16,MONTH($A228)=MONTH(P$16)),MAX(N228,O228)*P227,P227)</f>
        <v>1.55739783154092</v>
      </c>
    </row>
    <row r="229" customFormat="false" ht="12.75" hidden="false" customHeight="false" outlineLevel="0" collapsed="false">
      <c r="A229" s="1254" t="n">
        <f aca="false">EDATE(A228,1)</f>
        <v>41791</v>
      </c>
      <c r="B229" s="1245" t="n">
        <f aca="false">'[3]Monthly Curve Calc.'!B232</f>
        <v>519.863393963667</v>
      </c>
      <c r="C229" s="1246" t="n">
        <f aca="false">'[3]Monthly Curve Calc.'!C232</f>
        <v>250.544688505276</v>
      </c>
      <c r="D229" s="1246" t="n">
        <f aca="false">'[3]Monthly Curve Calc.'!D232</f>
        <v>190.284414327658</v>
      </c>
      <c r="E229" s="1246" t="n">
        <f aca="false">'[3]Monthly Curve Calc.'!E232</f>
        <v>23.8050000000001</v>
      </c>
      <c r="F229" s="1247" t="n">
        <f aca="false">'[3]Monthly Curve Calc.'!F232</f>
        <v>2.84391365413677</v>
      </c>
      <c r="G229" s="1255" t="n">
        <f aca="false">IF(AND($A229&gt;G$16,MONTH($A229)=MONTH(G$16)),B228/B216,G228)</f>
        <v>1.07</v>
      </c>
      <c r="H229" s="1253" t="n">
        <f aca="false">IF(AND($A229&gt;H$16,MONTH($A229)=MONTH(H$16)),C228/C216,H228)</f>
        <v>1.02527113365492</v>
      </c>
      <c r="I229" s="1253" t="n">
        <f aca="false">IF(AND($A229&gt;I$16,MONTH($A229)=MONTH(I$16)),C228/C216-I$18,I228)</f>
        <v>1.02277113365492</v>
      </c>
      <c r="J229" s="1253" t="n">
        <f aca="false">IF(AND($A229&gt;J$16,MONTH($A229)=MONTH(J$16)),D228/D216,J228)</f>
        <v>1.01572915648253</v>
      </c>
      <c r="K229" s="1253" t="n">
        <f aca="false">IF($A229&gt;=K$16,IF(MONTH($A229)=MONTH(K$16),AVERAGE(E217:E228),K228),K228)</f>
        <v>23.2300000000001</v>
      </c>
      <c r="L229" s="1256" t="n">
        <f aca="false">IF($A229&gt;=L$16,IF(MONTH($A229)=MONTH(L$16),AVERAGE(F217:F228),L228),L228)</f>
        <v>2.79034388935625</v>
      </c>
      <c r="M229" s="1215" t="n">
        <f aca="false">M228+1</f>
        <v>217</v>
      </c>
      <c r="N229" s="1252" t="n">
        <f aca="false">HLOOKUP(N$14,Dec_Change,$M229)</f>
        <v>1.02527113365492</v>
      </c>
      <c r="O229" s="1253" t="n">
        <f aca="false">O228</f>
        <v>1.005</v>
      </c>
      <c r="P229" s="1256" t="n">
        <f aca="false">IF(AND($A229&gt;=P$16,MONTH($A229)=MONTH(P$16)),MAX(N229,O229)*P228,P228)</f>
        <v>1.55739783154092</v>
      </c>
    </row>
    <row r="230" customFormat="false" ht="12.75" hidden="false" customHeight="false" outlineLevel="0" collapsed="false">
      <c r="A230" s="1254" t="n">
        <f aca="false">EDATE(A229,1)</f>
        <v>41821</v>
      </c>
      <c r="B230" s="1245" t="n">
        <f aca="false">'[3]Monthly Curve Calc.'!B233</f>
        <v>522.802777174728</v>
      </c>
      <c r="C230" s="1246" t="n">
        <f aca="false">'[3]Monthly Curve Calc.'!C233</f>
        <v>251.071120987456</v>
      </c>
      <c r="D230" s="1246" t="n">
        <f aca="false">'[3]Monthly Curve Calc.'!D233</f>
        <v>190.530163056719</v>
      </c>
      <c r="E230" s="1246" t="n">
        <f aca="false">'[3]Monthly Curve Calc.'!E233</f>
        <v>23.8550000000001</v>
      </c>
      <c r="F230" s="1247" t="n">
        <f aca="false">'[3]Monthly Curve Calc.'!F233</f>
        <v>2.8486095114751</v>
      </c>
      <c r="G230" s="1255" t="n">
        <f aca="false">IF(AND($A230&gt;G$16,MONTH($A230)=MONTH(G$16)),B229/B217,G229)</f>
        <v>1.07</v>
      </c>
      <c r="H230" s="1253" t="n">
        <f aca="false">IF(AND($A230&gt;H$16,MONTH($A230)=MONTH(H$16)),C229/C217,H229)</f>
        <v>1.02527113365492</v>
      </c>
      <c r="I230" s="1253" t="n">
        <f aca="false">IF(AND($A230&gt;I$16,MONTH($A230)=MONTH(I$16)),C229/C217-I$18,I229)</f>
        <v>1.02277113365492</v>
      </c>
      <c r="J230" s="1253" t="n">
        <f aca="false">IF(AND($A230&gt;J$16,MONTH($A230)=MONTH(J$16)),D229/D217,J229)</f>
        <v>1.01572915648253</v>
      </c>
      <c r="K230" s="1253" t="n">
        <f aca="false">IF($A230&gt;=K$16,IF(MONTH($A230)=MONTH(K$16),AVERAGE(E218:E229),K229),K229)</f>
        <v>23.2300000000001</v>
      </c>
      <c r="L230" s="1256" t="n">
        <f aca="false">IF($A230&gt;=L$16,IF(MONTH($A230)=MONTH(L$16),AVERAGE(F218:F229),L229),L229)</f>
        <v>2.79034388935625</v>
      </c>
      <c r="M230" s="1215" t="n">
        <f aca="false">M229+1</f>
        <v>218</v>
      </c>
      <c r="N230" s="1252" t="n">
        <f aca="false">HLOOKUP(N$14,Dec_Change,$M230)</f>
        <v>1.02527113365492</v>
      </c>
      <c r="O230" s="1253" t="n">
        <f aca="false">O229</f>
        <v>1.005</v>
      </c>
      <c r="P230" s="1256" t="n">
        <f aca="false">IF(AND($A230&gt;=P$16,MONTH($A230)=MONTH(P$16)),MAX(N230,O230)*P229,P229)</f>
        <v>1.55739783154092</v>
      </c>
    </row>
    <row r="231" customFormat="false" ht="12.75" hidden="false" customHeight="false" outlineLevel="0" collapsed="false">
      <c r="A231" s="1254" t="n">
        <f aca="false">EDATE(A230,1)</f>
        <v>41852</v>
      </c>
      <c r="B231" s="1245" t="n">
        <f aca="false">'[3]Monthly Curve Calc.'!B234</f>
        <v>525.758780085813</v>
      </c>
      <c r="C231" s="1246" t="n">
        <f aca="false">'[3]Monthly Curve Calc.'!C234</f>
        <v>251.598659584318</v>
      </c>
      <c r="D231" s="1246" t="n">
        <f aca="false">'[3]Monthly Curve Calc.'!D234</f>
        <v>190.776229165624</v>
      </c>
      <c r="E231" s="1246" t="n">
        <f aca="false">'[3]Monthly Curve Calc.'!E234</f>
        <v>23.9050000000001</v>
      </c>
      <c r="F231" s="1247" t="n">
        <f aca="false">'[3]Monthly Curve Calc.'!F234</f>
        <v>2.85331312259178</v>
      </c>
      <c r="G231" s="1255" t="n">
        <f aca="false">IF(AND($A231&gt;G$16,MONTH($A231)=MONTH(G$16)),B230/B218,G230)</f>
        <v>1.07</v>
      </c>
      <c r="H231" s="1253" t="n">
        <f aca="false">IF(AND($A231&gt;H$16,MONTH($A231)=MONTH(H$16)),C230/C218,H230)</f>
        <v>1.02527113365492</v>
      </c>
      <c r="I231" s="1253" t="n">
        <f aca="false">IF(AND($A231&gt;I$16,MONTH($A231)=MONTH(I$16)),C230/C218-I$18,I230)</f>
        <v>1.02277113365492</v>
      </c>
      <c r="J231" s="1253" t="n">
        <f aca="false">IF(AND($A231&gt;J$16,MONTH($A231)=MONTH(J$16)),D230/D218,J230)</f>
        <v>1.01572915648253</v>
      </c>
      <c r="K231" s="1253" t="n">
        <f aca="false">IF($A231&gt;=K$16,IF(MONTH($A231)=MONTH(K$16),AVERAGE(E219:E230),K230),K230)</f>
        <v>23.2300000000001</v>
      </c>
      <c r="L231" s="1256" t="n">
        <f aca="false">IF($A231&gt;=L$16,IF(MONTH($A231)=MONTH(L$16),AVERAGE(F219:F230),L230),L230)</f>
        <v>2.79034388935625</v>
      </c>
      <c r="M231" s="1215" t="n">
        <f aca="false">M230+1</f>
        <v>219</v>
      </c>
      <c r="N231" s="1252" t="n">
        <f aca="false">HLOOKUP(N$14,Dec_Change,$M231)</f>
        <v>1.02527113365492</v>
      </c>
      <c r="O231" s="1253" t="n">
        <f aca="false">O230</f>
        <v>1.005</v>
      </c>
      <c r="P231" s="1256" t="n">
        <f aca="false">IF(AND($A231&gt;=P$16,MONTH($A231)=MONTH(P$16)),MAX(N231,O231)*P230,P230)</f>
        <v>1.55739783154092</v>
      </c>
    </row>
    <row r="232" customFormat="false" ht="12.75" hidden="false" customHeight="false" outlineLevel="0" collapsed="false">
      <c r="A232" s="1254" t="n">
        <f aca="false">EDATE(A231,1)</f>
        <v>41883</v>
      </c>
      <c r="B232" s="1245" t="n">
        <f aca="false">'[3]Monthly Curve Calc.'!B235</f>
        <v>528.731496667123</v>
      </c>
      <c r="C232" s="1246" t="n">
        <f aca="false">'[3]Monthly Curve Calc.'!C235</f>
        <v>252.127306619976</v>
      </c>
      <c r="D232" s="1246" t="n">
        <f aca="false">'[3]Monthly Curve Calc.'!D235</f>
        <v>191.022613064265</v>
      </c>
      <c r="E232" s="1246" t="n">
        <f aca="false">'[3]Monthly Curve Calc.'!E235</f>
        <v>23.9550000000001</v>
      </c>
      <c r="F232" s="1247" t="n">
        <f aca="false">'[3]Monthly Curve Calc.'!F235</f>
        <v>2.85802450028983</v>
      </c>
      <c r="G232" s="1255" t="n">
        <f aca="false">IF(AND($A232&gt;G$16,MONTH($A232)=MONTH(G$16)),B231/B219,G231)</f>
        <v>1.07</v>
      </c>
      <c r="H232" s="1253" t="n">
        <f aca="false">IF(AND($A232&gt;H$16,MONTH($A232)=MONTH(H$16)),C231/C219,H231)</f>
        <v>1.02527113365492</v>
      </c>
      <c r="I232" s="1253" t="n">
        <f aca="false">IF(AND($A232&gt;I$16,MONTH($A232)=MONTH(I$16)),C231/C219-I$18,I231)</f>
        <v>1.02277113365492</v>
      </c>
      <c r="J232" s="1253" t="n">
        <f aca="false">IF(AND($A232&gt;J$16,MONTH($A232)=MONTH(J$16)),D231/D219,J231)</f>
        <v>1.01572915648253</v>
      </c>
      <c r="K232" s="1253" t="n">
        <f aca="false">IF($A232&gt;=K$16,IF(MONTH($A232)=MONTH(K$16),AVERAGE(E220:E231),K231),K231)</f>
        <v>23.2300000000001</v>
      </c>
      <c r="L232" s="1256" t="n">
        <f aca="false">IF($A232&gt;=L$16,IF(MONTH($A232)=MONTH(L$16),AVERAGE(F220:F231),L231),L231)</f>
        <v>2.79034388935625</v>
      </c>
      <c r="M232" s="1215" t="n">
        <f aca="false">M231+1</f>
        <v>220</v>
      </c>
      <c r="N232" s="1252" t="n">
        <f aca="false">HLOOKUP(N$14,Dec_Change,$M232)</f>
        <v>1.02527113365492</v>
      </c>
      <c r="O232" s="1253" t="n">
        <f aca="false">O231</f>
        <v>1.005</v>
      </c>
      <c r="P232" s="1256" t="n">
        <f aca="false">IF(AND($A232&gt;=P$16,MONTH($A232)=MONTH(P$16)),MAX(N232,O232)*P231,P231)</f>
        <v>1.55739783154092</v>
      </c>
    </row>
    <row r="233" customFormat="false" ht="12.75" hidden="false" customHeight="false" outlineLevel="0" collapsed="false">
      <c r="A233" s="1254" t="n">
        <f aca="false">EDATE(A232,1)</f>
        <v>41913</v>
      </c>
      <c r="B233" s="1245" t="n">
        <f aca="false">'[3]Monthly Curve Calc.'!B236</f>
        <v>531.721021420179</v>
      </c>
      <c r="C233" s="1246" t="n">
        <f aca="false">'[3]Monthly Curve Calc.'!C236</f>
        <v>252.657064423429</v>
      </c>
      <c r="D233" s="1246" t="n">
        <f aca="false">'[3]Monthly Curve Calc.'!D236</f>
        <v>191.269315163059</v>
      </c>
      <c r="E233" s="1246" t="n">
        <f aca="false">'[3]Monthly Curve Calc.'!E236</f>
        <v>24.0050000000001</v>
      </c>
      <c r="F233" s="1247" t="n">
        <f aca="false">'[3]Monthly Curve Calc.'!F236</f>
        <v>2.86274365739339</v>
      </c>
      <c r="G233" s="1255" t="n">
        <f aca="false">IF(AND($A233&gt;G$16,MONTH($A233)=MONTH(G$16)),B232/B220,G232)</f>
        <v>1.07</v>
      </c>
      <c r="H233" s="1253" t="n">
        <f aca="false">IF(AND($A233&gt;H$16,MONTH($A233)=MONTH(H$16)),C232/C220,H232)</f>
        <v>1.02527113365492</v>
      </c>
      <c r="I233" s="1253" t="n">
        <f aca="false">IF(AND($A233&gt;I$16,MONTH($A233)=MONTH(I$16)),C232/C220-I$18,I232)</f>
        <v>1.02277113365492</v>
      </c>
      <c r="J233" s="1253" t="n">
        <f aca="false">IF(AND($A233&gt;J$16,MONTH($A233)=MONTH(J$16)),D232/D220,J232)</f>
        <v>1.01572915648253</v>
      </c>
      <c r="K233" s="1253" t="n">
        <f aca="false">IF($A233&gt;=K$16,IF(MONTH($A233)=MONTH(K$16),AVERAGE(E221:E232),K232),K232)</f>
        <v>23.2300000000001</v>
      </c>
      <c r="L233" s="1256" t="n">
        <f aca="false">IF($A233&gt;=L$16,IF(MONTH($A233)=MONTH(L$16),AVERAGE(F221:F232),L232),L232)</f>
        <v>2.79034388935625</v>
      </c>
      <c r="M233" s="1215" t="n">
        <f aca="false">M232+1</f>
        <v>221</v>
      </c>
      <c r="N233" s="1252" t="n">
        <f aca="false">HLOOKUP(N$14,Dec_Change,$M233)</f>
        <v>1.02527113365492</v>
      </c>
      <c r="O233" s="1253" t="n">
        <f aca="false">O232</f>
        <v>1.005</v>
      </c>
      <c r="P233" s="1256" t="n">
        <f aca="false">IF(AND($A233&gt;=P$16,MONTH($A233)=MONTH(P$16)),MAX(N233,O233)*P232,P232)</f>
        <v>1.55739783154092</v>
      </c>
    </row>
    <row r="234" customFormat="false" ht="12.75" hidden="false" customHeight="false" outlineLevel="0" collapsed="false">
      <c r="A234" s="1254" t="n">
        <f aca="false">EDATE(A233,1)</f>
        <v>41944</v>
      </c>
      <c r="B234" s="1245" t="n">
        <f aca="false">'[3]Monthly Curve Calc.'!B237</f>
        <v>534.727449380829</v>
      </c>
      <c r="C234" s="1246" t="n">
        <f aca="false">'[3]Monthly Curve Calc.'!C237</f>
        <v>253.187935328568</v>
      </c>
      <c r="D234" s="1246" t="n">
        <f aca="false">'[3]Monthly Curve Calc.'!D237</f>
        <v>191.516335872956</v>
      </c>
      <c r="E234" s="1246" t="n">
        <f aca="false">'[3]Monthly Curve Calc.'!E237</f>
        <v>24.0550000000001</v>
      </c>
      <c r="F234" s="1247" t="n">
        <f aca="false">'[3]Monthly Curve Calc.'!F237</f>
        <v>2.86747060674777</v>
      </c>
      <c r="G234" s="1255" t="n">
        <f aca="false">IF(AND($A234&gt;G$16,MONTH($A234)=MONTH(G$16)),B233/B221,G233)</f>
        <v>1.07</v>
      </c>
      <c r="H234" s="1253" t="n">
        <f aca="false">IF(AND($A234&gt;H$16,MONTH($A234)=MONTH(H$16)),C233/C221,H233)</f>
        <v>1.02527113365492</v>
      </c>
      <c r="I234" s="1253" t="n">
        <f aca="false">IF(AND($A234&gt;I$16,MONTH($A234)=MONTH(I$16)),C233/C221-I$18,I233)</f>
        <v>1.02277113365492</v>
      </c>
      <c r="J234" s="1253" t="n">
        <f aca="false">IF(AND($A234&gt;J$16,MONTH($A234)=MONTH(J$16)),D233/D221,J233)</f>
        <v>1.01572915648253</v>
      </c>
      <c r="K234" s="1253" t="n">
        <f aca="false">IF($A234&gt;=K$16,IF(MONTH($A234)=MONTH(K$16),AVERAGE(E222:E233),K233),K233)</f>
        <v>23.2300000000001</v>
      </c>
      <c r="L234" s="1256" t="n">
        <f aca="false">IF($A234&gt;=L$16,IF(MONTH($A234)=MONTH(L$16),AVERAGE(F222:F233),L233),L233)</f>
        <v>2.79034388935625</v>
      </c>
      <c r="M234" s="1215" t="n">
        <f aca="false">M233+1</f>
        <v>222</v>
      </c>
      <c r="N234" s="1252" t="n">
        <f aca="false">HLOOKUP(N$14,Dec_Change,$M234)</f>
        <v>1.02527113365492</v>
      </c>
      <c r="O234" s="1253" t="n">
        <f aca="false">O233</f>
        <v>1.005</v>
      </c>
      <c r="P234" s="1256" t="n">
        <f aca="false">IF(AND($A234&gt;=P$16,MONTH($A234)=MONTH(P$16)),MAX(N234,O234)*P233,P233)</f>
        <v>1.55739783154092</v>
      </c>
    </row>
    <row r="235" customFormat="false" ht="12.75" hidden="false" customHeight="false" outlineLevel="0" collapsed="false">
      <c r="A235" s="1254" t="n">
        <f aca="false">EDATE(A234,1)</f>
        <v>41974</v>
      </c>
      <c r="B235" s="1245" t="n">
        <f aca="false">'[3]Monthly Curve Calc.'!B238</f>
        <v>537.750876122264</v>
      </c>
      <c r="C235" s="1246" t="n">
        <f aca="false">'[3]Monthly Curve Calc.'!C238</f>
        <v>253.719921674191</v>
      </c>
      <c r="D235" s="1246" t="n">
        <f aca="false">'[3]Monthly Curve Calc.'!D238</f>
        <v>191.763675605438</v>
      </c>
      <c r="E235" s="1246" t="n">
        <f aca="false">'[3]Monthly Curve Calc.'!E238</f>
        <v>24.1050000000001</v>
      </c>
      <c r="F235" s="1247" t="n">
        <f aca="false">'[3]Monthly Curve Calc.'!F238</f>
        <v>2.8722053612195</v>
      </c>
      <c r="G235" s="1255" t="n">
        <f aca="false">IF(AND($A235&gt;G$16,MONTH($A235)=MONTH(G$16)),B234/B222,G234)</f>
        <v>1.07</v>
      </c>
      <c r="H235" s="1253" t="n">
        <f aca="false">IF(AND($A235&gt;H$16,MONTH($A235)=MONTH(H$16)),C234/C222,H234)</f>
        <v>1.02527113365492</v>
      </c>
      <c r="I235" s="1253" t="n">
        <f aca="false">IF(AND($A235&gt;I$16,MONTH($A235)=MONTH(I$16)),C234/C222-I$18,I234)</f>
        <v>1.02277113365492</v>
      </c>
      <c r="J235" s="1253" t="n">
        <f aca="false">IF(AND($A235&gt;J$16,MONTH($A235)=MONTH(J$16)),D234/D222,J234)</f>
        <v>1.01572915648253</v>
      </c>
      <c r="K235" s="1253" t="n">
        <f aca="false">IF($A235&gt;=K$16,IF(MONTH($A235)=MONTH(K$16),AVERAGE(E223:E234),K234),K234)</f>
        <v>23.2300000000001</v>
      </c>
      <c r="L235" s="1256" t="n">
        <f aca="false">IF($A235&gt;=L$16,IF(MONTH($A235)=MONTH(L$16),AVERAGE(F223:F234),L234),L234)</f>
        <v>2.79034388935625</v>
      </c>
      <c r="M235" s="1215" t="n">
        <f aca="false">M234+1</f>
        <v>223</v>
      </c>
      <c r="N235" s="1252" t="n">
        <f aca="false">HLOOKUP(N$14,Dec_Change,$M235)</f>
        <v>1.02527113365492</v>
      </c>
      <c r="O235" s="1253" t="n">
        <f aca="false">O234</f>
        <v>1.005</v>
      </c>
      <c r="P235" s="1256" t="n">
        <f aca="false">IF(AND($A235&gt;=P$16,MONTH($A235)=MONTH(P$16)),MAX(N235,O235)*P234,P234)</f>
        <v>1.55739783154092</v>
      </c>
    </row>
    <row r="236" customFormat="false" ht="12.75" hidden="false" customHeight="false" outlineLevel="0" collapsed="false">
      <c r="A236" s="1254" t="n">
        <f aca="false">EDATE(A235,1)</f>
        <v>42005</v>
      </c>
      <c r="B236" s="1245" t="n">
        <f aca="false">'[3]Monthly Curve Calc.'!B239</f>
        <v>540.749261996104</v>
      </c>
      <c r="C236" s="1246" t="n">
        <f aca="false">'[3]Monthly Curve Calc.'!C239</f>
        <v>254.261288552445</v>
      </c>
      <c r="D236" s="1246" t="n">
        <f aca="false">'[3]Monthly Curve Calc.'!D239</f>
        <v>192.017044903824</v>
      </c>
      <c r="E236" s="1246" t="n">
        <f aca="false">'[3]Monthly Curve Calc.'!E239</f>
        <v>24.1550000000001</v>
      </c>
      <c r="F236" s="1247" t="n">
        <f aca="false">'[3]Monthly Curve Calc.'!F239</f>
        <v>2.87694237018618</v>
      </c>
      <c r="G236" s="1255" t="n">
        <f aca="false">IF(AND($A236&gt;G$16,MONTH($A236)=MONTH(G$16)),B235/B223,G235)</f>
        <v>1.07</v>
      </c>
      <c r="H236" s="1253" t="n">
        <f aca="false">IF(AND($A236&gt;H$16,MONTH($A236)=MONTH(H$16)),C235/C223,H235)</f>
        <v>1.02527113365492</v>
      </c>
      <c r="I236" s="1253" t="n">
        <f aca="false">IF(AND($A236&gt;I$16,MONTH($A236)=MONTH(I$16)),C235/C223-I$18,I235)</f>
        <v>1.02277113365492</v>
      </c>
      <c r="J236" s="1253" t="n">
        <f aca="false">IF(AND($A236&gt;J$16,MONTH($A236)=MONTH(J$16)),D235/D223,J235)</f>
        <v>1.01560833170368</v>
      </c>
      <c r="K236" s="1253" t="n">
        <f aca="false">IF($A236&gt;=K$16,IF(MONTH($A236)=MONTH(K$16),AVERAGE(E224:E235),K235),K235)</f>
        <v>23.8300000000001</v>
      </c>
      <c r="L236" s="1256" t="n">
        <f aca="false">IF($A236&gt;=L$16,IF(MONTH($A236)=MONTH(L$16),AVERAGE(F224:F235),L235),L235)</f>
        <v>2.84630677609597</v>
      </c>
      <c r="M236" s="1215" t="n">
        <f aca="false">M235+1</f>
        <v>224</v>
      </c>
      <c r="N236" s="1252" t="n">
        <f aca="false">HLOOKUP(N$14,Dec_Change,$M236)</f>
        <v>1.02527113365492</v>
      </c>
      <c r="O236" s="1253" t="n">
        <f aca="false">O235</f>
        <v>1.005</v>
      </c>
      <c r="P236" s="1256" t="n">
        <f aca="false">IF(AND($A236&gt;=P$16,MONTH($A236)=MONTH(P$16)),MAX(N236,O236)*P235,P235)</f>
        <v>1.55739783154092</v>
      </c>
    </row>
    <row r="237" customFormat="false" ht="12.75" hidden="false" customHeight="false" outlineLevel="0" collapsed="false">
      <c r="A237" s="1254" t="n">
        <f aca="false">EDATE(A236,1)</f>
        <v>42036</v>
      </c>
      <c r="B237" s="1245" t="n">
        <f aca="false">'[3]Monthly Curve Calc.'!B240</f>
        <v>543.764366239448</v>
      </c>
      <c r="C237" s="1246" t="n">
        <f aca="false">'[3]Monthly Curve Calc.'!C240</f>
        <v>254.803810555196</v>
      </c>
      <c r="D237" s="1246" t="n">
        <f aca="false">'[3]Monthly Curve Calc.'!D240</f>
        <v>192.270748968432</v>
      </c>
      <c r="E237" s="1246" t="n">
        <f aca="false">'[3]Monthly Curve Calc.'!E240</f>
        <v>24.2050000000001</v>
      </c>
      <c r="F237" s="1247" t="n">
        <f aca="false">'[3]Monthly Curve Calc.'!F240</f>
        <v>2.88168719170494</v>
      </c>
      <c r="G237" s="1255" t="n">
        <f aca="false">IF(AND($A237&gt;G$16,MONTH($A237)=MONTH(G$16)),B236/B224,G236)</f>
        <v>1.07</v>
      </c>
      <c r="H237" s="1253" t="n">
        <f aca="false">IF(AND($A237&gt;H$16,MONTH($A237)=MONTH(H$16)),C236/C224,H236)</f>
        <v>1.02527113365492</v>
      </c>
      <c r="I237" s="1253" t="n">
        <f aca="false">IF(AND($A237&gt;I$16,MONTH($A237)=MONTH(I$16)),C236/C224-I$18,I236)</f>
        <v>1.02277113365492</v>
      </c>
      <c r="J237" s="1253" t="n">
        <f aca="false">IF(AND($A237&gt;J$16,MONTH($A237)=MONTH(J$16)),D236/D224,J236)</f>
        <v>1.01560833170368</v>
      </c>
      <c r="K237" s="1253" t="n">
        <f aca="false">IF($A237&gt;=K$16,IF(MONTH($A237)=MONTH(K$16),AVERAGE(E225:E236),K236),K236)</f>
        <v>23.8300000000001</v>
      </c>
      <c r="L237" s="1256" t="n">
        <f aca="false">IF($A237&gt;=L$16,IF(MONTH($A237)=MONTH(L$16),AVERAGE(F225:F236),L236),L236)</f>
        <v>2.84630677609597</v>
      </c>
      <c r="M237" s="1215" t="n">
        <f aca="false">M236+1</f>
        <v>225</v>
      </c>
      <c r="N237" s="1252" t="n">
        <f aca="false">HLOOKUP(N$14,Dec_Change,$M237)</f>
        <v>1.02527113365492</v>
      </c>
      <c r="O237" s="1253" t="n">
        <f aca="false">O236</f>
        <v>1.005</v>
      </c>
      <c r="P237" s="1256" t="n">
        <f aca="false">IF(AND($A237&gt;=P$16,MONTH($A237)=MONTH(P$16)),MAX(N237,O237)*P236,P236)</f>
        <v>1.55739783154092</v>
      </c>
    </row>
    <row r="238" customFormat="false" ht="12.75" hidden="false" customHeight="false" outlineLevel="0" collapsed="false">
      <c r="A238" s="1254" t="n">
        <f aca="false">EDATE(A237,1)</f>
        <v>42064</v>
      </c>
      <c r="B238" s="1245" t="n">
        <f aca="false">'[3]Monthly Curve Calc.'!B241</f>
        <v>546.796282070411</v>
      </c>
      <c r="C238" s="1246" t="n">
        <f aca="false">'[3]Monthly Curve Calc.'!C241</f>
        <v>255.347490147154</v>
      </c>
      <c r="D238" s="1246" t="n">
        <f aca="false">'[3]Monthly Curve Calc.'!D241</f>
        <v>192.524788241577</v>
      </c>
      <c r="E238" s="1246" t="n">
        <f aca="false">'[3]Monthly Curve Calc.'!E241</f>
        <v>24.2550000000001</v>
      </c>
      <c r="F238" s="1247" t="n">
        <f aca="false">'[3]Monthly Curve Calc.'!F241</f>
        <v>2.8864398386607</v>
      </c>
      <c r="G238" s="1255" t="n">
        <f aca="false">IF(AND($A238&gt;G$16,MONTH($A238)=MONTH(G$16)),B237/B225,G237)</f>
        <v>1.07</v>
      </c>
      <c r="H238" s="1253" t="n">
        <f aca="false">IF(AND($A238&gt;H$16,MONTH($A238)=MONTH(H$16)),C237/C225,H237)</f>
        <v>1.02527113365492</v>
      </c>
      <c r="I238" s="1253" t="n">
        <f aca="false">IF(AND($A238&gt;I$16,MONTH($A238)=MONTH(I$16)),C237/C225-I$18,I237)</f>
        <v>1.02277113365492</v>
      </c>
      <c r="J238" s="1253" t="n">
        <f aca="false">IF(AND($A238&gt;J$16,MONTH($A238)=MONTH(J$16)),D237/D225,J237)</f>
        <v>1.01560833170368</v>
      </c>
      <c r="K238" s="1253" t="n">
        <f aca="false">IF($A238&gt;=K$16,IF(MONTH($A238)=MONTH(K$16),AVERAGE(E226:E237),K237),K237)</f>
        <v>23.8300000000001</v>
      </c>
      <c r="L238" s="1256" t="n">
        <f aca="false">IF($A238&gt;=L$16,IF(MONTH($A238)=MONTH(L$16),AVERAGE(F226:F237),L237),L237)</f>
        <v>2.84630677609597</v>
      </c>
      <c r="M238" s="1215" t="n">
        <f aca="false">M237+1</f>
        <v>226</v>
      </c>
      <c r="N238" s="1252" t="n">
        <f aca="false">HLOOKUP(N$14,Dec_Change,$M238)</f>
        <v>1.02527113365492</v>
      </c>
      <c r="O238" s="1253" t="n">
        <f aca="false">O237</f>
        <v>1.005</v>
      </c>
      <c r="P238" s="1256" t="n">
        <f aca="false">IF(AND($A238&gt;=P$16,MONTH($A238)=MONTH(P$16)),MAX(N238,O238)*P237,P237)</f>
        <v>1.55739783154092</v>
      </c>
    </row>
    <row r="239" customFormat="false" ht="12.75" hidden="false" customHeight="false" outlineLevel="0" collapsed="false">
      <c r="A239" s="1254" t="n">
        <f aca="false">EDATE(A238,1)</f>
        <v>42095</v>
      </c>
      <c r="B239" s="1245" t="n">
        <f aca="false">'[3]Monthly Curve Calc.'!B242</f>
        <v>549.845103226873</v>
      </c>
      <c r="C239" s="1246" t="n">
        <f aca="false">'[3]Monthly Curve Calc.'!C242</f>
        <v>255.892329798289</v>
      </c>
      <c r="D239" s="1246" t="n">
        <f aca="false">'[3]Monthly Curve Calc.'!D242</f>
        <v>192.779163166153</v>
      </c>
      <c r="E239" s="1246" t="n">
        <f aca="false">'[3]Monthly Curve Calc.'!E242</f>
        <v>24.3050000000001</v>
      </c>
      <c r="F239" s="1247" t="n">
        <f aca="false">'[3]Monthly Curve Calc.'!F242</f>
        <v>2.89120032395961</v>
      </c>
      <c r="G239" s="1255" t="n">
        <f aca="false">IF(AND($A239&gt;G$16,MONTH($A239)=MONTH(G$16)),B238/B226,G238)</f>
        <v>1.07</v>
      </c>
      <c r="H239" s="1253" t="n">
        <f aca="false">IF(AND($A239&gt;H$16,MONTH($A239)=MONTH(H$16)),C238/C226,H238)</f>
        <v>1.02527113365492</v>
      </c>
      <c r="I239" s="1253" t="n">
        <f aca="false">IF(AND($A239&gt;I$16,MONTH($A239)=MONTH(I$16)),C238/C226-I$18,I238)</f>
        <v>1.02277113365492</v>
      </c>
      <c r="J239" s="1253" t="n">
        <f aca="false">IF(AND($A239&gt;J$16,MONTH($A239)=MONTH(J$16)),D238/D226,J238)</f>
        <v>1.01560833170368</v>
      </c>
      <c r="K239" s="1253" t="n">
        <f aca="false">IF($A239&gt;=K$16,IF(MONTH($A239)=MONTH(K$16),AVERAGE(E227:E238),K238),K238)</f>
        <v>23.8300000000001</v>
      </c>
      <c r="L239" s="1256" t="n">
        <f aca="false">IF($A239&gt;=L$16,IF(MONTH($A239)=MONTH(L$16),AVERAGE(F227:F238),L238),L238)</f>
        <v>2.84630677609597</v>
      </c>
      <c r="M239" s="1215" t="n">
        <f aca="false">M238+1</f>
        <v>227</v>
      </c>
      <c r="N239" s="1252" t="n">
        <f aca="false">HLOOKUP(N$14,Dec_Change,$M239)</f>
        <v>1.02527113365492</v>
      </c>
      <c r="O239" s="1253" t="n">
        <f aca="false">O238</f>
        <v>1.005</v>
      </c>
      <c r="P239" s="1256" t="n">
        <f aca="false">IF(AND($A239&gt;=P$16,MONTH($A239)=MONTH(P$16)),MAX(N239,O239)*P238,P238)</f>
        <v>1.55739783154092</v>
      </c>
    </row>
    <row r="240" customFormat="false" ht="12.75" hidden="false" customHeight="false" outlineLevel="0" collapsed="false">
      <c r="A240" s="1254" t="n">
        <f aca="false">EDATE(A239,1)</f>
        <v>42125</v>
      </c>
      <c r="B240" s="1245" t="n">
        <f aca="false">'[3]Monthly Curve Calc.'!B243</f>
        <v>552.910923969377</v>
      </c>
      <c r="C240" s="1246" t="n">
        <f aca="false">'[3]Monthly Curve Calc.'!C243</f>
        <v>256.438331983841</v>
      </c>
      <c r="D240" s="1246" t="n">
        <f aca="false">'[3]Monthly Curve Calc.'!D243</f>
        <v>193.033874185644</v>
      </c>
      <c r="E240" s="1246" t="n">
        <f aca="false">'[3]Monthly Curve Calc.'!E243</f>
        <v>24.3550000000001</v>
      </c>
      <c r="F240" s="1247" t="n">
        <f aca="false">'[3]Monthly Curve Calc.'!F243</f>
        <v>2.89596866052913</v>
      </c>
      <c r="G240" s="1255" t="n">
        <f aca="false">IF(AND($A240&gt;G$16,MONTH($A240)=MONTH(G$16)),B239/B227,G239)</f>
        <v>1.06966656277056</v>
      </c>
      <c r="H240" s="1253" t="n">
        <f aca="false">IF(AND($A240&gt;H$16,MONTH($A240)=MONTH(H$16)),C239/C227,H239)</f>
        <v>1.02564056909022</v>
      </c>
      <c r="I240" s="1253" t="n">
        <f aca="false">IF(AND($A240&gt;I$16,MONTH($A240)=MONTH(I$16)),C239/C227-I$18,I239)</f>
        <v>1.02314056909022</v>
      </c>
      <c r="J240" s="1253" t="n">
        <f aca="false">IF(AND($A240&gt;J$16,MONTH($A240)=MONTH(J$16)),D239/D227,J239)</f>
        <v>1.01560833170368</v>
      </c>
      <c r="K240" s="1253" t="n">
        <f aca="false">IF($A240&gt;=K$16,IF(MONTH($A240)=MONTH(K$16),AVERAGE(E228:E239),K239),K239)</f>
        <v>23.8300000000001</v>
      </c>
      <c r="L240" s="1256" t="n">
        <f aca="false">IF($A240&gt;=L$16,IF(MONTH($A240)=MONTH(L$16),AVERAGE(F228:F239),L239),L239)</f>
        <v>2.84630677609597</v>
      </c>
      <c r="M240" s="1215" t="n">
        <f aca="false">M239+1</f>
        <v>228</v>
      </c>
      <c r="N240" s="1252" t="n">
        <f aca="false">HLOOKUP(N$14,Dec_Change,$M240)</f>
        <v>1.02564056909022</v>
      </c>
      <c r="O240" s="1253" t="n">
        <f aca="false">O239</f>
        <v>1.005</v>
      </c>
      <c r="P240" s="1256" t="n">
        <f aca="false">IF(AND($A240&gt;=P$16,MONTH($A240)=MONTH(P$16)),MAX(N240,O240)*P239,P239)</f>
        <v>1.59733039824151</v>
      </c>
    </row>
    <row r="241" customFormat="false" ht="12.75" hidden="false" customHeight="false" outlineLevel="0" collapsed="false">
      <c r="A241" s="1254" t="n">
        <f aca="false">EDATE(A240,1)</f>
        <v>42156</v>
      </c>
      <c r="B241" s="1245" t="n">
        <f aca="false">'[3]Monthly Curve Calc.'!B244</f>
        <v>555.993839084041</v>
      </c>
      <c r="C241" s="1246" t="n">
        <f aca="false">'[3]Monthly Curve Calc.'!C244</f>
        <v>256.98549918433</v>
      </c>
      <c r="D241" s="1246" t="n">
        <f aca="false">'[3]Monthly Curve Calc.'!D244</f>
        <v>193.288921744118</v>
      </c>
      <c r="E241" s="1246" t="n">
        <f aca="false">'[3]Monthly Curve Calc.'!E244</f>
        <v>24.4050000000001</v>
      </c>
      <c r="F241" s="1247" t="n">
        <f aca="false">'[3]Monthly Curve Calc.'!F244</f>
        <v>2.90074486131804</v>
      </c>
      <c r="G241" s="1255" t="n">
        <f aca="false">IF(AND($A241&gt;G$16,MONTH($A241)=MONTH(G$16)),B240/B228,G240)</f>
        <v>1.06966656277056</v>
      </c>
      <c r="H241" s="1253" t="n">
        <f aca="false">IF(AND($A241&gt;H$16,MONTH($A241)=MONTH(H$16)),C240/C228,H240)</f>
        <v>1.02564056909022</v>
      </c>
      <c r="I241" s="1253" t="n">
        <f aca="false">IF(AND($A241&gt;I$16,MONTH($A241)=MONTH(I$16)),C240/C228-I$18,I240)</f>
        <v>1.02314056909022</v>
      </c>
      <c r="J241" s="1253" t="n">
        <f aca="false">IF(AND($A241&gt;J$16,MONTH($A241)=MONTH(J$16)),D240/D228,J240)</f>
        <v>1.01560833170368</v>
      </c>
      <c r="K241" s="1253" t="n">
        <f aca="false">IF($A241&gt;=K$16,IF(MONTH($A241)=MONTH(K$16),AVERAGE(E229:E240),K240),K240)</f>
        <v>23.8300000000001</v>
      </c>
      <c r="L241" s="1256" t="n">
        <f aca="false">IF($A241&gt;=L$16,IF(MONTH($A241)=MONTH(L$16),AVERAGE(F229:F240),L240),L240)</f>
        <v>2.84630677609597</v>
      </c>
      <c r="M241" s="1215" t="n">
        <f aca="false">M240+1</f>
        <v>229</v>
      </c>
      <c r="N241" s="1252" t="n">
        <f aca="false">HLOOKUP(N$14,Dec_Change,$M241)</f>
        <v>1.02564056909022</v>
      </c>
      <c r="O241" s="1253" t="n">
        <f aca="false">O240</f>
        <v>1.005</v>
      </c>
      <c r="P241" s="1256" t="n">
        <f aca="false">IF(AND($A241&gt;=P$16,MONTH($A241)=MONTH(P$16)),MAX(N241,O241)*P240,P240)</f>
        <v>1.59733039824151</v>
      </c>
    </row>
    <row r="242" customFormat="false" ht="12.75" hidden="false" customHeight="false" outlineLevel="0" collapsed="false">
      <c r="A242" s="1254" t="n">
        <f aca="false">EDATE(A241,1)</f>
        <v>42186</v>
      </c>
      <c r="B242" s="1245" t="n">
        <f aca="false">'[3]Monthly Curve Calc.'!B245</f>
        <v>559.093943885492</v>
      </c>
      <c r="C242" s="1246" t="n">
        <f aca="false">'[3]Monthly Curve Calc.'!C245</f>
        <v>257.53383388557</v>
      </c>
      <c r="D242" s="1246" t="n">
        <f aca="false">'[3]Monthly Curve Calc.'!D245</f>
        <v>193.544306286229</v>
      </c>
      <c r="E242" s="1246" t="n">
        <f aca="false">'[3]Monthly Curve Calc.'!E245</f>
        <v>24.4550000000001</v>
      </c>
      <c r="F242" s="1247" t="n">
        <f aca="false">'[3]Monthly Curve Calc.'!F245</f>
        <v>2.90552893929647</v>
      </c>
      <c r="G242" s="1255" t="n">
        <f aca="false">IF(AND($A242&gt;G$16,MONTH($A242)=MONTH(G$16)),B241/B229,G241)</f>
        <v>1.06966656277056</v>
      </c>
      <c r="H242" s="1253" t="n">
        <f aca="false">IF(AND($A242&gt;H$16,MONTH($A242)=MONTH(H$16)),C241/C229,H241)</f>
        <v>1.02564056909022</v>
      </c>
      <c r="I242" s="1253" t="n">
        <f aca="false">IF(AND($A242&gt;I$16,MONTH($A242)=MONTH(I$16)),C241/C229-I$18,I241)</f>
        <v>1.02314056909022</v>
      </c>
      <c r="J242" s="1253" t="n">
        <f aca="false">IF(AND($A242&gt;J$16,MONTH($A242)=MONTH(J$16)),D241/D229,J241)</f>
        <v>1.01560833170368</v>
      </c>
      <c r="K242" s="1253" t="n">
        <f aca="false">IF($A242&gt;=K$16,IF(MONTH($A242)=MONTH(K$16),AVERAGE(E230:E241),K241),K241)</f>
        <v>23.8300000000001</v>
      </c>
      <c r="L242" s="1256" t="n">
        <f aca="false">IF($A242&gt;=L$16,IF(MONTH($A242)=MONTH(L$16),AVERAGE(F230:F241),L241),L241)</f>
        <v>2.84630677609597</v>
      </c>
      <c r="M242" s="1215" t="n">
        <f aca="false">M241+1</f>
        <v>230</v>
      </c>
      <c r="N242" s="1252" t="n">
        <f aca="false">HLOOKUP(N$14,Dec_Change,$M242)</f>
        <v>1.02564056909022</v>
      </c>
      <c r="O242" s="1253" t="n">
        <f aca="false">O241</f>
        <v>1.005</v>
      </c>
      <c r="P242" s="1256" t="n">
        <f aca="false">IF(AND($A242&gt;=P$16,MONTH($A242)=MONTH(P$16)),MAX(N242,O242)*P241,P241)</f>
        <v>1.59733039824151</v>
      </c>
    </row>
    <row r="243" customFormat="false" ht="12.75" hidden="false" customHeight="false" outlineLevel="0" collapsed="false">
      <c r="A243" s="1254" t="n">
        <f aca="false">EDATE(A242,1)</f>
        <v>42217</v>
      </c>
      <c r="B243" s="1245" t="n">
        <f aca="false">'[3]Monthly Curve Calc.'!B246</f>
        <v>562.211334219812</v>
      </c>
      <c r="C243" s="1246" t="n">
        <f aca="false">'[3]Monthly Curve Calc.'!C246</f>
        <v>258.08333857868</v>
      </c>
      <c r="D243" s="1246" t="n">
        <f aca="false">'[3]Monthly Curve Calc.'!D246</f>
        <v>193.80002825722</v>
      </c>
      <c r="E243" s="1246" t="n">
        <f aca="false">'[3]Monthly Curve Calc.'!E246</f>
        <v>24.5050000000001</v>
      </c>
      <c r="F243" s="1247" t="n">
        <f aca="false">'[3]Monthly Curve Calc.'!F246</f>
        <v>2.91032090745594</v>
      </c>
      <c r="G243" s="1255" t="n">
        <f aca="false">IF(AND($A243&gt;G$16,MONTH($A243)=MONTH(G$16)),B242/B230,G242)</f>
        <v>1.06966656277056</v>
      </c>
      <c r="H243" s="1253" t="n">
        <f aca="false">IF(AND($A243&gt;H$16,MONTH($A243)=MONTH(H$16)),C242/C230,H242)</f>
        <v>1.02564056909022</v>
      </c>
      <c r="I243" s="1253" t="n">
        <f aca="false">IF(AND($A243&gt;I$16,MONTH($A243)=MONTH(I$16)),C242/C230-I$18,I242)</f>
        <v>1.02314056909022</v>
      </c>
      <c r="J243" s="1253" t="n">
        <f aca="false">IF(AND($A243&gt;J$16,MONTH($A243)=MONTH(J$16)),D242/D230,J242)</f>
        <v>1.01560833170368</v>
      </c>
      <c r="K243" s="1253" t="n">
        <f aca="false">IF($A243&gt;=K$16,IF(MONTH($A243)=MONTH(K$16),AVERAGE(E231:E242),K242),K242)</f>
        <v>23.8300000000001</v>
      </c>
      <c r="L243" s="1256" t="n">
        <f aca="false">IF($A243&gt;=L$16,IF(MONTH($A243)=MONTH(L$16),AVERAGE(F231:F242),L242),L242)</f>
        <v>2.84630677609597</v>
      </c>
      <c r="M243" s="1215" t="n">
        <f aca="false">M242+1</f>
        <v>231</v>
      </c>
      <c r="N243" s="1252" t="n">
        <f aca="false">HLOOKUP(N$14,Dec_Change,$M243)</f>
        <v>1.02564056909022</v>
      </c>
      <c r="O243" s="1253" t="n">
        <f aca="false">O242</f>
        <v>1.005</v>
      </c>
      <c r="P243" s="1256" t="n">
        <f aca="false">IF(AND($A243&gt;=P$16,MONTH($A243)=MONTH(P$16)),MAX(N243,O243)*P242,P242)</f>
        <v>1.59733039824151</v>
      </c>
    </row>
    <row r="244" customFormat="false" ht="12.75" hidden="false" customHeight="false" outlineLevel="0" collapsed="false">
      <c r="A244" s="1254" t="n">
        <f aca="false">EDATE(A243,1)</f>
        <v>42248</v>
      </c>
      <c r="B244" s="1245" t="n">
        <f aca="false">'[3]Monthly Curve Calc.'!B247</f>
        <v>565.346106467498</v>
      </c>
      <c r="C244" s="1246" t="n">
        <f aca="false">'[3]Monthly Curve Calc.'!C247</f>
        <v>258.634015760092</v>
      </c>
      <c r="D244" s="1246" t="n">
        <f aca="false">'[3]Monthly Curve Calc.'!D247</f>
        <v>194.056088102922</v>
      </c>
      <c r="E244" s="1246" t="n">
        <f aca="false">'[3]Monthly Curve Calc.'!E247</f>
        <v>24.5550000000001</v>
      </c>
      <c r="F244" s="1247" t="n">
        <f aca="false">'[3]Monthly Curve Calc.'!F247</f>
        <v>2.91512077880939</v>
      </c>
      <c r="G244" s="1255" t="n">
        <f aca="false">IF(AND($A244&gt;G$16,MONTH($A244)=MONTH(G$16)),B243/B231,G243)</f>
        <v>1.06966656277056</v>
      </c>
      <c r="H244" s="1253" t="n">
        <f aca="false">IF(AND($A244&gt;H$16,MONTH($A244)=MONTH(H$16)),C243/C231,H243)</f>
        <v>1.02564056909022</v>
      </c>
      <c r="I244" s="1253" t="n">
        <f aca="false">IF(AND($A244&gt;I$16,MONTH($A244)=MONTH(I$16)),C243/C231-I$18,I243)</f>
        <v>1.02314056909022</v>
      </c>
      <c r="J244" s="1253" t="n">
        <f aca="false">IF(AND($A244&gt;J$16,MONTH($A244)=MONTH(J$16)),D243/D231,J243)</f>
        <v>1.01560833170368</v>
      </c>
      <c r="K244" s="1253" t="n">
        <f aca="false">IF($A244&gt;=K$16,IF(MONTH($A244)=MONTH(K$16),AVERAGE(E232:E243),K243),K243)</f>
        <v>23.8300000000001</v>
      </c>
      <c r="L244" s="1256" t="n">
        <f aca="false">IF($A244&gt;=L$16,IF(MONTH($A244)=MONTH(L$16),AVERAGE(F232:F243),L243),L243)</f>
        <v>2.84630677609597</v>
      </c>
      <c r="M244" s="1215" t="n">
        <f aca="false">M243+1</f>
        <v>232</v>
      </c>
      <c r="N244" s="1252" t="n">
        <f aca="false">HLOOKUP(N$14,Dec_Change,$M244)</f>
        <v>1.02564056909022</v>
      </c>
      <c r="O244" s="1253" t="n">
        <f aca="false">O243</f>
        <v>1.005</v>
      </c>
      <c r="P244" s="1256" t="n">
        <f aca="false">IF(AND($A244&gt;=P$16,MONTH($A244)=MONTH(P$16)),MAX(N244,O244)*P243,P243)</f>
        <v>1.59733039824151</v>
      </c>
    </row>
    <row r="245" customFormat="false" ht="12.75" hidden="false" customHeight="false" outlineLevel="0" collapsed="false">
      <c r="A245" s="1254" t="n">
        <f aca="false">EDATE(A244,1)</f>
        <v>42278</v>
      </c>
      <c r="B245" s="1245" t="n">
        <f aca="false">'[3]Monthly Curve Calc.'!B248</f>
        <v>568.498357546447</v>
      </c>
      <c r="C245" s="1246" t="n">
        <f aca="false">'[3]Monthly Curve Calc.'!C248</f>
        <v>259.185867931567</v>
      </c>
      <c r="D245" s="1246" t="n">
        <f aca="false">'[3]Monthly Curve Calc.'!D248</f>
        <v>194.312486269754</v>
      </c>
      <c r="E245" s="1246" t="n">
        <f aca="false">'[3]Monthly Curve Calc.'!E248</f>
        <v>24.6050000000001</v>
      </c>
      <c r="F245" s="1247" t="n">
        <f aca="false">'[3]Monthly Curve Calc.'!F248</f>
        <v>2.91992856639125</v>
      </c>
      <c r="G245" s="1255" t="n">
        <f aca="false">IF(AND($A245&gt;G$16,MONTH($A245)=MONTH(G$16)),B244/B232,G244)</f>
        <v>1.06966656277056</v>
      </c>
      <c r="H245" s="1253" t="n">
        <f aca="false">IF(AND($A245&gt;H$16,MONTH($A245)=MONTH(H$16)),C244/C232,H244)</f>
        <v>1.02564056909022</v>
      </c>
      <c r="I245" s="1253" t="n">
        <f aca="false">IF(AND($A245&gt;I$16,MONTH($A245)=MONTH(I$16)),C244/C232-I$18,I244)</f>
        <v>1.02314056909022</v>
      </c>
      <c r="J245" s="1253" t="n">
        <f aca="false">IF(AND($A245&gt;J$16,MONTH($A245)=MONTH(J$16)),D244/D232,J244)</f>
        <v>1.01560833170368</v>
      </c>
      <c r="K245" s="1253" t="n">
        <f aca="false">IF($A245&gt;=K$16,IF(MONTH($A245)=MONTH(K$16),AVERAGE(E233:E244),K244),K244)</f>
        <v>23.8300000000001</v>
      </c>
      <c r="L245" s="1256" t="n">
        <f aca="false">IF($A245&gt;=L$16,IF(MONTH($A245)=MONTH(L$16),AVERAGE(F233:F244),L244),L244)</f>
        <v>2.84630677609597</v>
      </c>
      <c r="M245" s="1215" t="n">
        <f aca="false">M244+1</f>
        <v>233</v>
      </c>
      <c r="N245" s="1252" t="n">
        <f aca="false">HLOOKUP(N$14,Dec_Change,$M245)</f>
        <v>1.02564056909022</v>
      </c>
      <c r="O245" s="1253" t="n">
        <f aca="false">O244</f>
        <v>1.005</v>
      </c>
      <c r="P245" s="1256" t="n">
        <f aca="false">IF(AND($A245&gt;=P$16,MONTH($A245)=MONTH(P$16)),MAX(N245,O245)*P244,P244)</f>
        <v>1.59733039824151</v>
      </c>
    </row>
    <row r="246" customFormat="false" ht="12.75" hidden="false" customHeight="false" outlineLevel="0" collapsed="false">
      <c r="A246" s="1254" t="n">
        <f aca="false">EDATE(A245,1)</f>
        <v>42309</v>
      </c>
      <c r="B246" s="1245" t="n">
        <f aca="false">'[3]Monthly Curve Calc.'!B249</f>
        <v>571.668184914949</v>
      </c>
      <c r="C246" s="1246" t="n">
        <f aca="false">'[3]Monthly Curve Calc.'!C249</f>
        <v>259.738897600203</v>
      </c>
      <c r="D246" s="1246" t="n">
        <f aca="false">'[3]Monthly Curve Calc.'!D249</f>
        <v>194.569223204725</v>
      </c>
      <c r="E246" s="1246" t="n">
        <f aca="false">'[3]Monthly Curve Calc.'!E249</f>
        <v>24.6550000000001</v>
      </c>
      <c r="F246" s="1247" t="n">
        <f aca="false">'[3]Monthly Curve Calc.'!F249</f>
        <v>2.9247442832574</v>
      </c>
      <c r="G246" s="1255" t="n">
        <f aca="false">IF(AND($A246&gt;G$16,MONTH($A246)=MONTH(G$16)),B245/B233,G245)</f>
        <v>1.06966656277056</v>
      </c>
      <c r="H246" s="1253" t="n">
        <f aca="false">IF(AND($A246&gt;H$16,MONTH($A246)=MONTH(H$16)),C245/C233,H245)</f>
        <v>1.02564056909022</v>
      </c>
      <c r="I246" s="1253" t="n">
        <f aca="false">IF(AND($A246&gt;I$16,MONTH($A246)=MONTH(I$16)),C245/C233-I$18,I245)</f>
        <v>1.02314056909022</v>
      </c>
      <c r="J246" s="1253" t="n">
        <f aca="false">IF(AND($A246&gt;J$16,MONTH($A246)=MONTH(J$16)),D245/D233,J245)</f>
        <v>1.01560833170368</v>
      </c>
      <c r="K246" s="1253" t="n">
        <f aca="false">IF($A246&gt;=K$16,IF(MONTH($A246)=MONTH(K$16),AVERAGE(E234:E245),K245),K245)</f>
        <v>23.8300000000001</v>
      </c>
      <c r="L246" s="1256" t="n">
        <f aca="false">IF($A246&gt;=L$16,IF(MONTH($A246)=MONTH(L$16),AVERAGE(F234:F245),L245),L245)</f>
        <v>2.84630677609597</v>
      </c>
      <c r="M246" s="1215" t="n">
        <f aca="false">M245+1</f>
        <v>234</v>
      </c>
      <c r="N246" s="1252" t="n">
        <f aca="false">HLOOKUP(N$14,Dec_Change,$M246)</f>
        <v>1.02564056909022</v>
      </c>
      <c r="O246" s="1253" t="n">
        <f aca="false">O245</f>
        <v>1.005</v>
      </c>
      <c r="P246" s="1256" t="n">
        <f aca="false">IF(AND($A246&gt;=P$16,MONTH($A246)=MONTH(P$16)),MAX(N246,O246)*P245,P245)</f>
        <v>1.59733039824151</v>
      </c>
    </row>
    <row r="247" customFormat="false" ht="12.75" hidden="false" customHeight="false" outlineLevel="0" collapsed="false">
      <c r="A247" s="1254" t="n">
        <f aca="false">EDATE(A246,1)</f>
        <v>42339</v>
      </c>
      <c r="B247" s="1245" t="n">
        <f aca="false">'[3]Monthly Curve Calc.'!B250</f>
        <v>574.8556865747</v>
      </c>
      <c r="C247" s="1246" t="n">
        <f aca="false">'[3]Monthly Curve Calc.'!C250</f>
        <v>260.293107278446</v>
      </c>
      <c r="D247" s="1246" t="n">
        <f aca="false">'[3]Monthly Curve Calc.'!D250</f>
        <v>194.826299355436</v>
      </c>
      <c r="E247" s="1246" t="n">
        <f aca="false">'[3]Monthly Curve Calc.'!E250</f>
        <v>24.7050000000001</v>
      </c>
      <c r="F247" s="1247" t="n">
        <f aca="false">'[3]Monthly Curve Calc.'!F250</f>
        <v>2.9295679424853</v>
      </c>
      <c r="G247" s="1255" t="n">
        <f aca="false">IF(AND($A247&gt;G$16,MONTH($A247)=MONTH(G$16)),B246/B234,G246)</f>
        <v>1.06966656277056</v>
      </c>
      <c r="H247" s="1253" t="n">
        <f aca="false">IF(AND($A247&gt;H$16,MONTH($A247)=MONTH(H$16)),C246/C234,H246)</f>
        <v>1.02564056909022</v>
      </c>
      <c r="I247" s="1253" t="n">
        <f aca="false">IF(AND($A247&gt;I$16,MONTH($A247)=MONTH(I$16)),C246/C234-I$18,I246)</f>
        <v>1.02314056909022</v>
      </c>
      <c r="J247" s="1253" t="n">
        <f aca="false">IF(AND($A247&gt;J$16,MONTH($A247)=MONTH(J$16)),D246/D234,J246)</f>
        <v>1.01560833170368</v>
      </c>
      <c r="K247" s="1253" t="n">
        <f aca="false">IF($A247&gt;=K$16,IF(MONTH($A247)=MONTH(K$16),AVERAGE(E235:E246),K246),K246)</f>
        <v>23.8300000000001</v>
      </c>
      <c r="L247" s="1256" t="n">
        <f aca="false">IF($A247&gt;=L$16,IF(MONTH($A247)=MONTH(L$16),AVERAGE(F235:F246),L246),L246)</f>
        <v>2.84630677609597</v>
      </c>
      <c r="M247" s="1215" t="n">
        <f aca="false">M246+1</f>
        <v>235</v>
      </c>
      <c r="N247" s="1252" t="n">
        <f aca="false">HLOOKUP(N$14,Dec_Change,$M247)</f>
        <v>1.02564056909022</v>
      </c>
      <c r="O247" s="1253" t="n">
        <f aca="false">O246</f>
        <v>1.005</v>
      </c>
      <c r="P247" s="1256" t="n">
        <f aca="false">IF(AND($A247&gt;=P$16,MONTH($A247)=MONTH(P$16)),MAX(N247,O247)*P246,P246)</f>
        <v>1.59733039824151</v>
      </c>
    </row>
    <row r="248" customFormat="false" ht="12.75" hidden="false" customHeight="false" outlineLevel="0" collapsed="false">
      <c r="A248" s="1254" t="n">
        <f aca="false">EDATE(A247,1)</f>
        <v>42370</v>
      </c>
      <c r="B248" s="1245" t="n">
        <f aca="false">'[3]Monthly Curve Calc.'!B251</f>
        <v>578.060961073834</v>
      </c>
      <c r="C248" s="1246" t="n">
        <f aca="false">'[3]Monthly Curve Calc.'!C251</f>
        <v>260.859267560075</v>
      </c>
      <c r="D248" s="1246" t="n">
        <f aca="false">'[3]Monthly Curve Calc.'!D251</f>
        <v>195.094312690353</v>
      </c>
      <c r="E248" s="1246" t="n">
        <f aca="false">'[3]Monthly Curve Calc.'!E251</f>
        <v>24.7359027777779</v>
      </c>
      <c r="F248" s="1247" t="n">
        <f aca="false">'[3]Monthly Curve Calc.'!F251</f>
        <v>2.9344084151188</v>
      </c>
      <c r="G248" s="1255" t="n">
        <f aca="false">IF(AND($A248&gt;G$16,MONTH($A248)=MONTH(G$16)),B247/B235,G247)</f>
        <v>1.06966656277056</v>
      </c>
      <c r="H248" s="1253" t="n">
        <f aca="false">IF(AND($A248&gt;H$16,MONTH($A248)=MONTH(H$16)),C247/C235,H247)</f>
        <v>1.02564056909022</v>
      </c>
      <c r="I248" s="1253" t="n">
        <f aca="false">IF(AND($A248&gt;I$16,MONTH($A248)=MONTH(I$16)),C247/C235-I$18,I247)</f>
        <v>1.02314056909022</v>
      </c>
      <c r="J248" s="1253" t="n">
        <f aca="false">IF(AND($A248&gt;J$16,MONTH($A248)=MONTH(J$16)),D247/D235,J247)</f>
        <v>1.01597082315161</v>
      </c>
      <c r="K248" s="1253" t="n">
        <f aca="false">IF($A248&gt;=K$16,IF(MONTH($A248)=MONTH(K$16),AVERAGE(E236:E247),K247),K247)</f>
        <v>24.4300000000001</v>
      </c>
      <c r="L248" s="1256" t="n">
        <f aca="false">IF($A248&gt;=L$16,IF(MONTH($A248)=MONTH(L$16),AVERAGE(F236:F247),L247),L247)</f>
        <v>2.9031828886712</v>
      </c>
      <c r="M248" s="1215" t="n">
        <f aca="false">M247+1</f>
        <v>236</v>
      </c>
      <c r="N248" s="1252" t="n">
        <f aca="false">HLOOKUP(N$14,Dec_Change,$M248)</f>
        <v>1.02564056909022</v>
      </c>
      <c r="O248" s="1253" t="n">
        <f aca="false">O247</f>
        <v>1.005</v>
      </c>
      <c r="P248" s="1256" t="n">
        <f aca="false">IF(AND($A248&gt;=P$16,MONTH($A248)=MONTH(P$16)),MAX(N248,O248)*P247,P247)</f>
        <v>1.59733039824151</v>
      </c>
    </row>
    <row r="249" customFormat="false" ht="12.75" hidden="false" customHeight="false" outlineLevel="0" collapsed="false">
      <c r="A249" s="1254" t="n">
        <f aca="false">EDATE(A248,1)</f>
        <v>42401</v>
      </c>
      <c r="B249" s="1245" t="n">
        <f aca="false">'[3]Monthly Curve Calc.'!B252</f>
        <v>581.284107509969</v>
      </c>
      <c r="C249" s="1246" t="n">
        <f aca="false">'[3]Monthly Curve Calc.'!C252</f>
        <v>261.426659289851</v>
      </c>
      <c r="D249" s="1246" t="n">
        <f aca="false">'[3]Monthly Curve Calc.'!D252</f>
        <v>195.362694718552</v>
      </c>
      <c r="E249" s="1246" t="n">
        <f aca="false">'[3]Monthly Curve Calc.'!E252</f>
        <v>24.7668055555557</v>
      </c>
      <c r="F249" s="1247" t="n">
        <f aca="false">'[3]Monthly Curve Calc.'!F252</f>
        <v>2.93925688557853</v>
      </c>
      <c r="G249" s="1255" t="n">
        <f aca="false">IF(AND($A249&gt;G$16,MONTH($A249)=MONTH(G$16)),B248/B236,G248)</f>
        <v>1.06966656277056</v>
      </c>
      <c r="H249" s="1253" t="n">
        <f aca="false">IF(AND($A249&gt;H$16,MONTH($A249)=MONTH(H$16)),C248/C236,H248)</f>
        <v>1.02564056909022</v>
      </c>
      <c r="I249" s="1253" t="n">
        <f aca="false">IF(AND($A249&gt;I$16,MONTH($A249)=MONTH(I$16)),C248/C236-I$18,I248)</f>
        <v>1.02314056909022</v>
      </c>
      <c r="J249" s="1253" t="n">
        <f aca="false">IF(AND($A249&gt;J$16,MONTH($A249)=MONTH(J$16)),D248/D236,J248)</f>
        <v>1.01597082315161</v>
      </c>
      <c r="K249" s="1253" t="n">
        <f aca="false">IF($A249&gt;=K$16,IF(MONTH($A249)=MONTH(K$16),AVERAGE(E237:E248),K248),K248)</f>
        <v>24.4300000000001</v>
      </c>
      <c r="L249" s="1256" t="n">
        <f aca="false">IF($A249&gt;=L$16,IF(MONTH($A249)=MONTH(L$16),AVERAGE(F237:F248),L248),L248)</f>
        <v>2.9031828886712</v>
      </c>
      <c r="M249" s="1215" t="n">
        <f aca="false">M248+1</f>
        <v>237</v>
      </c>
      <c r="N249" s="1252" t="n">
        <f aca="false">HLOOKUP(N$14,Dec_Change,$M249)</f>
        <v>1.02564056909022</v>
      </c>
      <c r="O249" s="1253" t="n">
        <f aca="false">O248</f>
        <v>1.005</v>
      </c>
      <c r="P249" s="1256" t="n">
        <f aca="false">IF(AND($A249&gt;=P$16,MONTH($A249)=MONTH(P$16)),MAX(N249,O249)*P248,P248)</f>
        <v>1.59733039824151</v>
      </c>
    </row>
    <row r="250" customFormat="false" ht="12.75" hidden="false" customHeight="false" outlineLevel="0" collapsed="false">
      <c r="A250" s="1254" t="n">
        <f aca="false">EDATE(A249,1)</f>
        <v>42430</v>
      </c>
      <c r="B250" s="1245" t="n">
        <f aca="false">'[3]Monthly Curve Calc.'!B253</f>
        <v>584.525225533269</v>
      </c>
      <c r="C250" s="1246" t="n">
        <f aca="false">'[3]Monthly Curve Calc.'!C253</f>
        <v>261.99528514628</v>
      </c>
      <c r="D250" s="1246" t="n">
        <f aca="false">'[3]Monthly Curve Calc.'!D253</f>
        <v>195.631445947226</v>
      </c>
      <c r="E250" s="1246" t="n">
        <f aca="false">'[3]Monthly Curve Calc.'!E253</f>
        <v>24.7977083333334</v>
      </c>
      <c r="F250" s="1247" t="n">
        <f aca="false">'[3]Monthly Curve Calc.'!F253</f>
        <v>2.94411336707915</v>
      </c>
      <c r="G250" s="1255" t="n">
        <f aca="false">IF(AND($A250&gt;G$16,MONTH($A250)=MONTH(G$16)),B249/B237,G249)</f>
        <v>1.06966656277056</v>
      </c>
      <c r="H250" s="1253" t="n">
        <f aca="false">IF(AND($A250&gt;H$16,MONTH($A250)=MONTH(H$16)),C249/C237,H249)</f>
        <v>1.02564056909022</v>
      </c>
      <c r="I250" s="1253" t="n">
        <f aca="false">IF(AND($A250&gt;I$16,MONTH($A250)=MONTH(I$16)),C249/C237-I$18,I249)</f>
        <v>1.02314056909022</v>
      </c>
      <c r="J250" s="1253" t="n">
        <f aca="false">IF(AND($A250&gt;J$16,MONTH($A250)=MONTH(J$16)),D249/D237,J249)</f>
        <v>1.01597082315161</v>
      </c>
      <c r="K250" s="1253" t="n">
        <f aca="false">IF($A250&gt;=K$16,IF(MONTH($A250)=MONTH(K$16),AVERAGE(E238:E249),K249),K249)</f>
        <v>24.4300000000001</v>
      </c>
      <c r="L250" s="1256" t="n">
        <f aca="false">IF($A250&gt;=L$16,IF(MONTH($A250)=MONTH(L$16),AVERAGE(F238:F249),L249),L249)</f>
        <v>2.9031828886712</v>
      </c>
      <c r="M250" s="1215" t="n">
        <f aca="false">M249+1</f>
        <v>238</v>
      </c>
      <c r="N250" s="1252" t="n">
        <f aca="false">HLOOKUP(N$14,Dec_Change,$M250)</f>
        <v>1.02564056909022</v>
      </c>
      <c r="O250" s="1253" t="n">
        <f aca="false">O249</f>
        <v>1.005</v>
      </c>
      <c r="P250" s="1256" t="n">
        <f aca="false">IF(AND($A250&gt;=P$16,MONTH($A250)=MONTH(P$16)),MAX(N250,O250)*P249,P249)</f>
        <v>1.59733039824151</v>
      </c>
    </row>
    <row r="251" customFormat="false" ht="12.75" hidden="false" customHeight="false" outlineLevel="0" collapsed="false">
      <c r="A251" s="1254" t="n">
        <f aca="false">EDATE(A250,1)</f>
        <v>42461</v>
      </c>
      <c r="B251" s="1245" t="n">
        <f aca="false">'[3]Monthly Curve Calc.'!B254</f>
        <v>587.784415349527</v>
      </c>
      <c r="C251" s="1246" t="n">
        <f aca="false">'[3]Monthly Curve Calc.'!C254</f>
        <v>262.565147813697</v>
      </c>
      <c r="D251" s="1246" t="n">
        <f aca="false">'[3]Monthly Curve Calc.'!D254</f>
        <v>195.900566884268</v>
      </c>
      <c r="E251" s="1246" t="n">
        <f aca="false">'[3]Monthly Curve Calc.'!E254</f>
        <v>24.8286111111112</v>
      </c>
      <c r="F251" s="1247" t="n">
        <f aca="false">'[3]Monthly Curve Calc.'!F254</f>
        <v>2.94897787285716</v>
      </c>
      <c r="G251" s="1255" t="n">
        <f aca="false">IF(AND($A251&gt;G$16,MONTH($A251)=MONTH(G$16)),B250/B238,G250)</f>
        <v>1.06966656277056</v>
      </c>
      <c r="H251" s="1253" t="n">
        <f aca="false">IF(AND($A251&gt;H$16,MONTH($A251)=MONTH(H$16)),C250/C238,H250)</f>
        <v>1.02564056909022</v>
      </c>
      <c r="I251" s="1253" t="n">
        <f aca="false">IF(AND($A251&gt;I$16,MONTH($A251)=MONTH(I$16)),C250/C238-I$18,I250)</f>
        <v>1.02314056909022</v>
      </c>
      <c r="J251" s="1253" t="n">
        <f aca="false">IF(AND($A251&gt;J$16,MONTH($A251)=MONTH(J$16)),D250/D238,J250)</f>
        <v>1.01597082315161</v>
      </c>
      <c r="K251" s="1253" t="n">
        <f aca="false">IF($A251&gt;=K$16,IF(MONTH($A251)=MONTH(K$16),AVERAGE(E239:E250),K250),K250)</f>
        <v>24.4300000000001</v>
      </c>
      <c r="L251" s="1256" t="n">
        <f aca="false">IF($A251&gt;=L$16,IF(MONTH($A251)=MONTH(L$16),AVERAGE(F239:F250),L250),L250)</f>
        <v>2.9031828886712</v>
      </c>
      <c r="M251" s="1215" t="n">
        <f aca="false">M250+1</f>
        <v>239</v>
      </c>
      <c r="N251" s="1252" t="n">
        <f aca="false">HLOOKUP(N$14,Dec_Change,$M251)</f>
        <v>1.02564056909022</v>
      </c>
      <c r="O251" s="1253" t="n">
        <f aca="false">O250</f>
        <v>1.005</v>
      </c>
      <c r="P251" s="1256" t="n">
        <f aca="false">IF(AND($A251&gt;=P$16,MONTH($A251)=MONTH(P$16)),MAX(N251,O251)*P250,P250)</f>
        <v>1.59733039824151</v>
      </c>
    </row>
    <row r="252" customFormat="false" ht="12.75" hidden="false" customHeight="false" outlineLevel="0" collapsed="false">
      <c r="A252" s="1254" t="n">
        <f aca="false">EDATE(A251,1)</f>
        <v>42491</v>
      </c>
      <c r="B252" s="1245" t="n">
        <f aca="false">'[3]Monthly Curve Calc.'!B255</f>
        <v>591.061777723263</v>
      </c>
      <c r="C252" s="1246" t="n">
        <f aca="false">'[3]Monthly Curve Calc.'!C255</f>
        <v>263.136249982273</v>
      </c>
      <c r="D252" s="1246" t="n">
        <f aca="false">'[3]Monthly Curve Calc.'!D255</f>
        <v>196.170058038268</v>
      </c>
      <c r="E252" s="1246" t="n">
        <f aca="false">'[3]Monthly Curve Calc.'!E255</f>
        <v>24.859513888889</v>
      </c>
      <c r="F252" s="1247" t="n">
        <f aca="false">'[3]Monthly Curve Calc.'!F255</f>
        <v>2.95385041617093</v>
      </c>
      <c r="G252" s="1255" t="n">
        <f aca="false">IF(AND($A252&gt;G$16,MONTH($A252)=MONTH(G$16)),B251/B239,G251)</f>
        <v>1.069</v>
      </c>
      <c r="H252" s="1253" t="n">
        <f aca="false">IF(AND($A252&gt;H$16,MONTH($A252)=MONTH(H$16)),C251/C239,H251)</f>
        <v>1.02607666287093</v>
      </c>
      <c r="I252" s="1253" t="n">
        <f aca="false">IF(AND($A252&gt;I$16,MONTH($A252)=MONTH(I$16)),C251/C239-I$18,I251)</f>
        <v>1.02357666287093</v>
      </c>
      <c r="J252" s="1253" t="n">
        <f aca="false">IF(AND($A252&gt;J$16,MONTH($A252)=MONTH(J$16)),D251/D239,J251)</f>
        <v>1.01597082315161</v>
      </c>
      <c r="K252" s="1253" t="n">
        <f aca="false">IF($A252&gt;=K$16,IF(MONTH($A252)=MONTH(K$16),AVERAGE(E240:E251),K251),K251)</f>
        <v>24.4300000000001</v>
      </c>
      <c r="L252" s="1256" t="n">
        <f aca="false">IF($A252&gt;=L$16,IF(MONTH($A252)=MONTH(L$16),AVERAGE(F240:F251),L251),L251)</f>
        <v>2.9031828886712</v>
      </c>
      <c r="M252" s="1215" t="n">
        <f aca="false">M251+1</f>
        <v>240</v>
      </c>
      <c r="N252" s="1252" t="n">
        <f aca="false">HLOOKUP(N$14,Dec_Change,$M252)</f>
        <v>1.02607666287093</v>
      </c>
      <c r="O252" s="1253" t="n">
        <f aca="false">O251</f>
        <v>1.005</v>
      </c>
      <c r="P252" s="1256" t="n">
        <f aca="false">IF(AND($A252&gt;=P$16,MONTH($A252)=MONTH(P$16)),MAX(N252,O252)*P251,P251)</f>
        <v>1.63898344452994</v>
      </c>
    </row>
    <row r="253" customFormat="false" ht="12.75" hidden="false" customHeight="false" outlineLevel="0" collapsed="false">
      <c r="A253" s="1254" t="n">
        <f aca="false">EDATE(A252,1)</f>
        <v>42522</v>
      </c>
      <c r="B253" s="1245" t="n">
        <f aca="false">'[3]Monthly Curve Calc.'!B256</f>
        <v>594.357413980839</v>
      </c>
      <c r="C253" s="1246" t="n">
        <f aca="false">'[3]Monthly Curve Calc.'!C256</f>
        <v>263.708594348032</v>
      </c>
      <c r="D253" s="1246" t="n">
        <f aca="false">'[3]Monthly Curve Calc.'!D256</f>
        <v>196.439919918515</v>
      </c>
      <c r="E253" s="1246" t="n">
        <f aca="false">'[3]Monthly Curve Calc.'!E256</f>
        <v>24.8904166666668</v>
      </c>
      <c r="F253" s="1247" t="n">
        <f aca="false">'[3]Monthly Curve Calc.'!F256</f>
        <v>2.95873101030073</v>
      </c>
      <c r="G253" s="1255" t="n">
        <f aca="false">IF(AND($A253&gt;G$16,MONTH($A253)=MONTH(G$16)),B252/B240,G252)</f>
        <v>1.069</v>
      </c>
      <c r="H253" s="1253" t="n">
        <f aca="false">IF(AND($A253&gt;H$16,MONTH($A253)=MONTH(H$16)),C252/C240,H252)</f>
        <v>1.02607666287093</v>
      </c>
      <c r="I253" s="1253" t="n">
        <f aca="false">IF(AND($A253&gt;I$16,MONTH($A253)=MONTH(I$16)),C252/C240-I$18,I252)</f>
        <v>1.02357666287093</v>
      </c>
      <c r="J253" s="1253" t="n">
        <f aca="false">IF(AND($A253&gt;J$16,MONTH($A253)=MONTH(J$16)),D252/D240,J252)</f>
        <v>1.01597082315161</v>
      </c>
      <c r="K253" s="1253" t="n">
        <f aca="false">IF($A253&gt;=K$16,IF(MONTH($A253)=MONTH(K$16),AVERAGE(E241:E252),K252),K252)</f>
        <v>24.4300000000001</v>
      </c>
      <c r="L253" s="1256" t="n">
        <f aca="false">IF($A253&gt;=L$16,IF(MONTH($A253)=MONTH(L$16),AVERAGE(F241:F252),L252),L252)</f>
        <v>2.9031828886712</v>
      </c>
      <c r="M253" s="1215" t="n">
        <f aca="false">M252+1</f>
        <v>241</v>
      </c>
      <c r="N253" s="1252" t="n">
        <f aca="false">HLOOKUP(N$14,Dec_Change,$M253)</f>
        <v>1.02607666287093</v>
      </c>
      <c r="O253" s="1253" t="n">
        <f aca="false">O252</f>
        <v>1.005</v>
      </c>
      <c r="P253" s="1256" t="n">
        <f aca="false">IF(AND($A253&gt;=P$16,MONTH($A253)=MONTH(P$16)),MAX(N253,O253)*P252,P252)</f>
        <v>1.63898344452994</v>
      </c>
    </row>
    <row r="254" customFormat="false" ht="12.75" hidden="false" customHeight="false" outlineLevel="0" collapsed="false">
      <c r="A254" s="1254" t="n">
        <f aca="false">EDATE(A253,1)</f>
        <v>42552</v>
      </c>
      <c r="B254" s="1245" t="n">
        <f aca="false">'[3]Monthly Curve Calc.'!B257</f>
        <v>597.671426013591</v>
      </c>
      <c r="C254" s="1246" t="n">
        <f aca="false">'[3]Monthly Curve Calc.'!C257</f>
        <v>264.282183612862</v>
      </c>
      <c r="D254" s="1246" t="n">
        <f aca="false">'[3]Monthly Curve Calc.'!D257</f>
        <v>196.710153035001</v>
      </c>
      <c r="E254" s="1246" t="n">
        <f aca="false">'[3]Monthly Curve Calc.'!E257</f>
        <v>24.9213194444445</v>
      </c>
      <c r="F254" s="1247" t="n">
        <f aca="false">'[3]Monthly Curve Calc.'!F257</f>
        <v>2.96361966854878</v>
      </c>
      <c r="G254" s="1255" t="n">
        <f aca="false">IF(AND($A254&gt;G$16,MONTH($A254)=MONTH(G$16)),B253/B241,G253)</f>
        <v>1.069</v>
      </c>
      <c r="H254" s="1253" t="n">
        <f aca="false">IF(AND($A254&gt;H$16,MONTH($A254)=MONTH(H$16)),C253/C241,H253)</f>
        <v>1.02607666287093</v>
      </c>
      <c r="I254" s="1253" t="n">
        <f aca="false">IF(AND($A254&gt;I$16,MONTH($A254)=MONTH(I$16)),C253/C241-I$18,I253)</f>
        <v>1.02357666287093</v>
      </c>
      <c r="J254" s="1253" t="n">
        <f aca="false">IF(AND($A254&gt;J$16,MONTH($A254)=MONTH(J$16)),D253/D241,J253)</f>
        <v>1.01597082315161</v>
      </c>
      <c r="K254" s="1253" t="n">
        <f aca="false">IF($A254&gt;=K$16,IF(MONTH($A254)=MONTH(K$16),AVERAGE(E242:E253),K253),K253)</f>
        <v>24.4300000000001</v>
      </c>
      <c r="L254" s="1256" t="n">
        <f aca="false">IF($A254&gt;=L$16,IF(MONTH($A254)=MONTH(L$16),AVERAGE(F242:F253),L253),L253)</f>
        <v>2.9031828886712</v>
      </c>
      <c r="M254" s="1215" t="n">
        <f aca="false">M253+1</f>
        <v>242</v>
      </c>
      <c r="N254" s="1252" t="n">
        <f aca="false">HLOOKUP(N$14,Dec_Change,$M254)</f>
        <v>1.02607666287093</v>
      </c>
      <c r="O254" s="1253" t="n">
        <f aca="false">O253</f>
        <v>1.005</v>
      </c>
      <c r="P254" s="1256" t="n">
        <f aca="false">IF(AND($A254&gt;=P$16,MONTH($A254)=MONTH(P$16)),MAX(N254,O254)*P253,P253)</f>
        <v>1.63898344452994</v>
      </c>
    </row>
    <row r="255" customFormat="false" ht="12.75" hidden="false" customHeight="false" outlineLevel="0" collapsed="false">
      <c r="A255" s="1254" t="n">
        <f aca="false">EDATE(A254,1)</f>
        <v>42583</v>
      </c>
      <c r="B255" s="1245" t="n">
        <f aca="false">'[3]Monthly Curve Calc.'!B258</f>
        <v>601.003916280978</v>
      </c>
      <c r="C255" s="1246" t="n">
        <f aca="false">'[3]Monthly Curve Calc.'!C258</f>
        <v>264.857020484526</v>
      </c>
      <c r="D255" s="1246" t="n">
        <f aca="false">'[3]Monthly Curve Calc.'!D258</f>
        <v>196.980757898417</v>
      </c>
      <c r="E255" s="1246" t="n">
        <f aca="false">'[3]Monthly Curve Calc.'!E258</f>
        <v>24.9522222222223</v>
      </c>
      <c r="F255" s="1247" t="n">
        <f aca="false">'[3]Monthly Curve Calc.'!F258</f>
        <v>2.96851640423929</v>
      </c>
      <c r="G255" s="1255" t="n">
        <f aca="false">IF(AND($A255&gt;G$16,MONTH($A255)=MONTH(G$16)),B254/B242,G254)</f>
        <v>1.069</v>
      </c>
      <c r="H255" s="1253" t="n">
        <f aca="false">IF(AND($A255&gt;H$16,MONTH($A255)=MONTH(H$16)),C254/C242,H254)</f>
        <v>1.02607666287093</v>
      </c>
      <c r="I255" s="1253" t="n">
        <f aca="false">IF(AND($A255&gt;I$16,MONTH($A255)=MONTH(I$16)),C254/C242-I$18,I254)</f>
        <v>1.02357666287093</v>
      </c>
      <c r="J255" s="1253" t="n">
        <f aca="false">IF(AND($A255&gt;J$16,MONTH($A255)=MONTH(J$16)),D254/D242,J254)</f>
        <v>1.01597082315161</v>
      </c>
      <c r="K255" s="1253" t="n">
        <f aca="false">IF($A255&gt;=K$16,IF(MONTH($A255)=MONTH(K$16),AVERAGE(E243:E254),K254),K254)</f>
        <v>24.4300000000001</v>
      </c>
      <c r="L255" s="1256" t="n">
        <f aca="false">IF($A255&gt;=L$16,IF(MONTH($A255)=MONTH(L$16),AVERAGE(F243:F254),L254),L254)</f>
        <v>2.9031828886712</v>
      </c>
      <c r="M255" s="1215" t="n">
        <f aca="false">M254+1</f>
        <v>243</v>
      </c>
      <c r="N255" s="1252" t="n">
        <f aca="false">HLOOKUP(N$14,Dec_Change,$M255)</f>
        <v>1.02607666287093</v>
      </c>
      <c r="O255" s="1253" t="n">
        <f aca="false">O254</f>
        <v>1.005</v>
      </c>
      <c r="P255" s="1256" t="n">
        <f aca="false">IF(AND($A255&gt;=P$16,MONTH($A255)=MONTH(P$16)),MAX(N255,O255)*P254,P254)</f>
        <v>1.63898344452994</v>
      </c>
    </row>
    <row r="256" customFormat="false" ht="12.75" hidden="false" customHeight="false" outlineLevel="0" collapsed="false">
      <c r="A256" s="1254" t="n">
        <f aca="false">EDATE(A255,1)</f>
        <v>42614</v>
      </c>
      <c r="B256" s="1245" t="n">
        <f aca="false">'[3]Monthly Curve Calc.'!B259</f>
        <v>604.354987813755</v>
      </c>
      <c r="C256" s="1246" t="n">
        <f aca="false">'[3]Monthly Curve Calc.'!C259</f>
        <v>265.43310767668</v>
      </c>
      <c r="D256" s="1246" t="n">
        <f aca="false">'[3]Monthly Curve Calc.'!D259</f>
        <v>197.251735020158</v>
      </c>
      <c r="E256" s="1246" t="n">
        <f aca="false">'[3]Monthly Curve Calc.'!E259</f>
        <v>24.9831250000001</v>
      </c>
      <c r="F256" s="1247" t="n">
        <f aca="false">'[3]Monthly Curve Calc.'!F259</f>
        <v>2.97342123071846</v>
      </c>
      <c r="G256" s="1255" t="n">
        <f aca="false">IF(AND($A256&gt;G$16,MONTH($A256)=MONTH(G$16)),B255/B243,G255)</f>
        <v>1.069</v>
      </c>
      <c r="H256" s="1253" t="n">
        <f aca="false">IF(AND($A256&gt;H$16,MONTH($A256)=MONTH(H$16)),C255/C243,H255)</f>
        <v>1.02607666287093</v>
      </c>
      <c r="I256" s="1253" t="n">
        <f aca="false">IF(AND($A256&gt;I$16,MONTH($A256)=MONTH(I$16)),C255/C243-I$18,I255)</f>
        <v>1.02357666287093</v>
      </c>
      <c r="J256" s="1253" t="n">
        <f aca="false">IF(AND($A256&gt;J$16,MONTH($A256)=MONTH(J$16)),D255/D243,J255)</f>
        <v>1.01597082315161</v>
      </c>
      <c r="K256" s="1253" t="n">
        <f aca="false">IF($A256&gt;=K$16,IF(MONTH($A256)=MONTH(K$16),AVERAGE(E244:E255),K255),K255)</f>
        <v>24.4300000000001</v>
      </c>
      <c r="L256" s="1256" t="n">
        <f aca="false">IF($A256&gt;=L$16,IF(MONTH($A256)=MONTH(L$16),AVERAGE(F244:F255),L255),L255)</f>
        <v>2.9031828886712</v>
      </c>
      <c r="M256" s="1215" t="n">
        <f aca="false">M255+1</f>
        <v>244</v>
      </c>
      <c r="N256" s="1252" t="n">
        <f aca="false">HLOOKUP(N$14,Dec_Change,$M256)</f>
        <v>1.02607666287093</v>
      </c>
      <c r="O256" s="1253" t="n">
        <f aca="false">O255</f>
        <v>1.005</v>
      </c>
      <c r="P256" s="1256" t="n">
        <f aca="false">IF(AND($A256&gt;=P$16,MONTH($A256)=MONTH(P$16)),MAX(N256,O256)*P255,P255)</f>
        <v>1.63898344452994</v>
      </c>
    </row>
    <row r="257" customFormat="false" ht="12.75" hidden="false" customHeight="false" outlineLevel="0" collapsed="false">
      <c r="A257" s="1254" t="n">
        <f aca="false">EDATE(A256,1)</f>
        <v>42644</v>
      </c>
      <c r="B257" s="1245" t="n">
        <f aca="false">'[3]Monthly Curve Calc.'!B260</f>
        <v>607.724744217151</v>
      </c>
      <c r="C257" s="1246" t="n">
        <f aca="false">'[3]Monthly Curve Calc.'!C260</f>
        <v>266.010447908878</v>
      </c>
      <c r="D257" s="1246" t="n">
        <f aca="false">'[3]Monthly Curve Calc.'!D260</f>
        <v>197.523084912322</v>
      </c>
      <c r="E257" s="1246" t="n">
        <f aca="false">'[3]Monthly Curve Calc.'!E260</f>
        <v>25.0140277777779</v>
      </c>
      <c r="F257" s="1247" t="n">
        <f aca="false">'[3]Monthly Curve Calc.'!F260</f>
        <v>2.97833416135456</v>
      </c>
      <c r="G257" s="1255" t="n">
        <f aca="false">IF(AND($A257&gt;G$16,MONTH($A257)=MONTH(G$16)),B256/B244,G256)</f>
        <v>1.069</v>
      </c>
      <c r="H257" s="1253" t="n">
        <f aca="false">IF(AND($A257&gt;H$16,MONTH($A257)=MONTH(H$16)),C256/C244,H256)</f>
        <v>1.02607666287093</v>
      </c>
      <c r="I257" s="1253" t="n">
        <f aca="false">IF(AND($A257&gt;I$16,MONTH($A257)=MONTH(I$16)),C256/C244-I$18,I256)</f>
        <v>1.02357666287093</v>
      </c>
      <c r="J257" s="1253" t="n">
        <f aca="false">IF(AND($A257&gt;J$16,MONTH($A257)=MONTH(J$16)),D256/D244,J256)</f>
        <v>1.01597082315161</v>
      </c>
      <c r="K257" s="1253" t="n">
        <f aca="false">IF($A257&gt;=K$16,IF(MONTH($A257)=MONTH(K$16),AVERAGE(E245:E256),K256),K256)</f>
        <v>24.4300000000001</v>
      </c>
      <c r="L257" s="1256" t="n">
        <f aca="false">IF($A257&gt;=L$16,IF(MONTH($A257)=MONTH(L$16),AVERAGE(F245:F256),L256),L256)</f>
        <v>2.9031828886712</v>
      </c>
      <c r="M257" s="1215" t="n">
        <f aca="false">M256+1</f>
        <v>245</v>
      </c>
      <c r="N257" s="1252" t="n">
        <f aca="false">HLOOKUP(N$14,Dec_Change,$M257)</f>
        <v>1.02607666287093</v>
      </c>
      <c r="O257" s="1253" t="n">
        <f aca="false">O256</f>
        <v>1.005</v>
      </c>
      <c r="P257" s="1256" t="n">
        <f aca="false">IF(AND($A257&gt;=P$16,MONTH($A257)=MONTH(P$16)),MAX(N257,O257)*P256,P256)</f>
        <v>1.63898344452994</v>
      </c>
    </row>
    <row r="258" customFormat="false" ht="12.75" hidden="false" customHeight="false" outlineLevel="0" collapsed="false">
      <c r="A258" s="1254" t="n">
        <f aca="false">EDATE(A257,1)</f>
        <v>42675</v>
      </c>
      <c r="B258" s="1245" t="n">
        <f aca="false">'[3]Monthly Curve Calc.'!B261</f>
        <v>611.11328967408</v>
      </c>
      <c r="C258" s="1246" t="n">
        <f aca="false">'[3]Monthly Curve Calc.'!C261</f>
        <v>266.589043906594</v>
      </c>
      <c r="D258" s="1246" t="n">
        <f aca="false">'[3]Monthly Curve Calc.'!D261</f>
        <v>197.794808087713</v>
      </c>
      <c r="E258" s="1246" t="n">
        <f aca="false">'[3]Monthly Curve Calc.'!E261</f>
        <v>25.0449305555556</v>
      </c>
      <c r="F258" s="1247" t="n">
        <f aca="false">'[3]Monthly Curve Calc.'!F261</f>
        <v>2.98325520953795</v>
      </c>
      <c r="G258" s="1255" t="n">
        <f aca="false">IF(AND($A258&gt;G$16,MONTH($A258)=MONTH(G$16)),B257/B245,G257)</f>
        <v>1.069</v>
      </c>
      <c r="H258" s="1253" t="n">
        <f aca="false">IF(AND($A258&gt;H$16,MONTH($A258)=MONTH(H$16)),C257/C245,H257)</f>
        <v>1.02607666287093</v>
      </c>
      <c r="I258" s="1253" t="n">
        <f aca="false">IF(AND($A258&gt;I$16,MONTH($A258)=MONTH(I$16)),C257/C245-I$18,I257)</f>
        <v>1.02357666287093</v>
      </c>
      <c r="J258" s="1253" t="n">
        <f aca="false">IF(AND($A258&gt;J$16,MONTH($A258)=MONTH(J$16)),D257/D245,J257)</f>
        <v>1.01597082315161</v>
      </c>
      <c r="K258" s="1253" t="n">
        <f aca="false">IF($A258&gt;=K$16,IF(MONTH($A258)=MONTH(K$16),AVERAGE(E246:E257),K257),K257)</f>
        <v>24.4300000000001</v>
      </c>
      <c r="L258" s="1256" t="n">
        <f aca="false">IF($A258&gt;=L$16,IF(MONTH($A258)=MONTH(L$16),AVERAGE(F246:F257),L257),L257)</f>
        <v>2.9031828886712</v>
      </c>
      <c r="M258" s="1215" t="n">
        <f aca="false">M257+1</f>
        <v>246</v>
      </c>
      <c r="N258" s="1252" t="n">
        <f aca="false">HLOOKUP(N$14,Dec_Change,$M258)</f>
        <v>1.02607666287093</v>
      </c>
      <c r="O258" s="1253" t="n">
        <f aca="false">O257</f>
        <v>1.005</v>
      </c>
      <c r="P258" s="1256" t="n">
        <f aca="false">IF(AND($A258&gt;=P$16,MONTH($A258)=MONTH(P$16)),MAX(N258,O258)*P257,P257)</f>
        <v>1.63898344452994</v>
      </c>
    </row>
    <row r="259" customFormat="false" ht="12.75" hidden="false" customHeight="false" outlineLevel="0" collapsed="false">
      <c r="A259" s="1254" t="n">
        <f aca="false">EDATE(A258,1)</f>
        <v>42705</v>
      </c>
      <c r="B259" s="1245" t="n">
        <f aca="false">'[3]Monthly Curve Calc.'!B262</f>
        <v>614.520728948354</v>
      </c>
      <c r="C259" s="1246" t="n">
        <f aca="false">'[3]Monthly Curve Calc.'!C262</f>
        <v>267.168898401227</v>
      </c>
      <c r="D259" s="1246" t="n">
        <f aca="false">'[3]Monthly Curve Calc.'!D262</f>
        <v>198.066905059837</v>
      </c>
      <c r="E259" s="1246" t="n">
        <f aca="false">'[3]Monthly Curve Calc.'!E262</f>
        <v>25.0758333333334</v>
      </c>
      <c r="F259" s="1247" t="n">
        <f aca="false">'[3]Monthly Curve Calc.'!F262</f>
        <v>2.9881843886811</v>
      </c>
      <c r="G259" s="1255" t="n">
        <f aca="false">IF(AND($A259&gt;G$16,MONTH($A259)=MONTH(G$16)),B258/B246,G258)</f>
        <v>1.069</v>
      </c>
      <c r="H259" s="1253" t="n">
        <f aca="false">IF(AND($A259&gt;H$16,MONTH($A259)=MONTH(H$16)),C258/C246,H258)</f>
        <v>1.02607666287093</v>
      </c>
      <c r="I259" s="1253" t="n">
        <f aca="false">IF(AND($A259&gt;I$16,MONTH($A259)=MONTH(I$16)),C258/C246-I$18,I258)</f>
        <v>1.02357666287093</v>
      </c>
      <c r="J259" s="1253" t="n">
        <f aca="false">IF(AND($A259&gt;J$16,MONTH($A259)=MONTH(J$16)),D258/D246,J258)</f>
        <v>1.01597082315161</v>
      </c>
      <c r="K259" s="1253" t="n">
        <f aca="false">IF($A259&gt;=K$16,IF(MONTH($A259)=MONTH(K$16),AVERAGE(E247:E258),K258),K258)</f>
        <v>24.4300000000001</v>
      </c>
      <c r="L259" s="1256" t="n">
        <f aca="false">IF($A259&gt;=L$16,IF(MONTH($A259)=MONTH(L$16),AVERAGE(F247:F258),L258),L258)</f>
        <v>2.9031828886712</v>
      </c>
      <c r="M259" s="1215" t="n">
        <f aca="false">M258+1</f>
        <v>247</v>
      </c>
      <c r="N259" s="1252" t="n">
        <f aca="false">HLOOKUP(N$14,Dec_Change,$M259)</f>
        <v>1.02607666287093</v>
      </c>
      <c r="O259" s="1253" t="n">
        <f aca="false">O258</f>
        <v>1.005</v>
      </c>
      <c r="P259" s="1256" t="n">
        <f aca="false">IF(AND($A259&gt;=P$16,MONTH($A259)=MONTH(P$16)),MAX(N259,O259)*P258,P258)</f>
        <v>1.63898344452994</v>
      </c>
    </row>
    <row r="260" customFormat="false" ht="12.75" hidden="false" customHeight="false" outlineLevel="0" collapsed="false">
      <c r="A260" s="1254" t="n">
        <f aca="false">EDATE(A259,1)</f>
        <v>42736</v>
      </c>
      <c r="B260" s="1245" t="n">
        <f aca="false">'[3]Monthly Curve Calc.'!B263</f>
        <v>617.898974975202</v>
      </c>
      <c r="C260" s="1246" t="n">
        <f aca="false">'[3]Monthly Curve Calc.'!C263</f>
        <v>267.760699845458</v>
      </c>
      <c r="D260" s="1246" t="n">
        <f aca="false">'[3]Monthly Curve Calc.'!D263</f>
        <v>198.350618042666</v>
      </c>
      <c r="E260" s="1246" t="n">
        <f aca="false">'[3]Monthly Curve Calc.'!E263</f>
        <v>25.0761805555557</v>
      </c>
      <c r="F260" s="1247" t="n">
        <f aca="false">'[3]Monthly Curve Calc.'!F263</f>
        <v>2.99310910169973</v>
      </c>
      <c r="G260" s="1255" t="n">
        <f aca="false">IF(AND($A260&gt;G$16,MONTH($A260)=MONTH(G$16)),B259/B247,G259)</f>
        <v>1.069</v>
      </c>
      <c r="H260" s="1253" t="n">
        <f aca="false">IF(AND($A260&gt;H$16,MONTH($A260)=MONTH(H$16)),C259/C247,H259)</f>
        <v>1.02607666287093</v>
      </c>
      <c r="I260" s="1253" t="n">
        <f aca="false">IF(AND($A260&gt;I$16,MONTH($A260)=MONTH(I$16)),C259/C247-I$18,I259)</f>
        <v>1.02357666287093</v>
      </c>
      <c r="J260" s="1253" t="n">
        <f aca="false">IF(AND($A260&gt;J$16,MONTH($A260)=MONTH(J$16)),D259/D247,J259)</f>
        <v>1.01663330728512</v>
      </c>
      <c r="K260" s="1253" t="n">
        <f aca="false">IF($A260&gt;=K$16,IF(MONTH($A260)=MONTH(K$16),AVERAGE(E248:E259),K259),K259)</f>
        <v>24.9058680555557</v>
      </c>
      <c r="L260" s="1256" t="n">
        <f aca="false">IF($A260&gt;=L$16,IF(MONTH($A260)=MONTH(L$16),AVERAGE(F248:F259),L259),L259)</f>
        <v>2.96122241918212</v>
      </c>
      <c r="M260" s="1215" t="n">
        <f aca="false">M259+1</f>
        <v>248</v>
      </c>
      <c r="N260" s="1252" t="n">
        <f aca="false">HLOOKUP(N$14,Dec_Change,$M260)</f>
        <v>1.02607666287093</v>
      </c>
      <c r="O260" s="1253" t="n">
        <f aca="false">O259</f>
        <v>1.005</v>
      </c>
      <c r="P260" s="1256" t="n">
        <f aca="false">IF(AND($A260&gt;=P$16,MONTH($A260)=MONTH(P$16)),MAX(N260,O260)*P259,P259)</f>
        <v>1.63898344452994</v>
      </c>
    </row>
    <row r="261" customFormat="false" ht="12.75" hidden="false" customHeight="false" outlineLevel="0" collapsed="false">
      <c r="A261" s="1254" t="n">
        <f aca="false">EDATE(A260,1)</f>
        <v>42767</v>
      </c>
      <c r="B261" s="1245" t="n">
        <f aca="false">'[3]Monthly Curve Calc.'!B264</f>
        <v>621.295792460556</v>
      </c>
      <c r="C261" s="1246" t="n">
        <f aca="false">'[3]Monthly Curve Calc.'!C264</f>
        <v>268.35381217936</v>
      </c>
      <c r="D261" s="1246" t="n">
        <f aca="false">'[3]Monthly Curve Calc.'!D264</f>
        <v>198.634737418761</v>
      </c>
      <c r="E261" s="1246" t="n">
        <f aca="false">'[3]Monthly Curve Calc.'!E264</f>
        <v>25.0765277777779</v>
      </c>
      <c r="F261" s="1247" t="n">
        <f aca="false">'[3]Monthly Curve Calc.'!F264</f>
        <v>2.99804193095055</v>
      </c>
      <c r="G261" s="1255" t="n">
        <f aca="false">IF(AND($A261&gt;G$16,MONTH($A261)=MONTH(G$16)),B260/B248,G260)</f>
        <v>1.069</v>
      </c>
      <c r="H261" s="1253" t="n">
        <f aca="false">IF(AND($A261&gt;H$16,MONTH($A261)=MONTH(H$16)),C260/C248,H260)</f>
        <v>1.02607666287093</v>
      </c>
      <c r="I261" s="1253" t="n">
        <f aca="false">IF(AND($A261&gt;I$16,MONTH($A261)=MONTH(I$16)),C260/C248-I$18,I260)</f>
        <v>1.02357666287093</v>
      </c>
      <c r="J261" s="1253" t="n">
        <f aca="false">IF(AND($A261&gt;J$16,MONTH($A261)=MONTH(J$16)),D260/D248,J260)</f>
        <v>1.01663330728512</v>
      </c>
      <c r="K261" s="1253" t="n">
        <f aca="false">IF($A261&gt;=K$16,IF(MONTH($A261)=MONTH(K$16),AVERAGE(E249:E260),K260),K260)</f>
        <v>24.9058680555557</v>
      </c>
      <c r="L261" s="1256" t="n">
        <f aca="false">IF($A261&gt;=L$16,IF(MONTH($A261)=MONTH(L$16),AVERAGE(F249:F260),L260),L260)</f>
        <v>2.96122241918212</v>
      </c>
      <c r="M261" s="1215" t="n">
        <f aca="false">M260+1</f>
        <v>249</v>
      </c>
      <c r="N261" s="1252" t="n">
        <f aca="false">HLOOKUP(N$14,Dec_Change,$M261)</f>
        <v>1.02607666287093</v>
      </c>
      <c r="O261" s="1253" t="n">
        <f aca="false">O260</f>
        <v>1.005</v>
      </c>
      <c r="P261" s="1256" t="n">
        <f aca="false">IF(AND($A261&gt;=P$16,MONTH($A261)=MONTH(P$16)),MAX(N261,O261)*P260,P260)</f>
        <v>1.63898344452994</v>
      </c>
    </row>
    <row r="262" customFormat="false" ht="12.75" hidden="false" customHeight="false" outlineLevel="0" collapsed="false">
      <c r="A262" s="1254" t="n">
        <f aca="false">EDATE(A261,1)</f>
        <v>42795</v>
      </c>
      <c r="B262" s="1245" t="n">
        <f aca="false">'[3]Monthly Curve Calc.'!B265</f>
        <v>624.711283498538</v>
      </c>
      <c r="C262" s="1246" t="n">
        <f aca="false">'[3]Monthly Curve Calc.'!C265</f>
        <v>268.948238306664</v>
      </c>
      <c r="D262" s="1246" t="n">
        <f aca="false">'[3]Monthly Curve Calc.'!D265</f>
        <v>198.919263770245</v>
      </c>
      <c r="E262" s="1246" t="n">
        <f aca="false">'[3]Monthly Curve Calc.'!E265</f>
        <v>25.0768750000001</v>
      </c>
      <c r="F262" s="1247" t="n">
        <f aca="false">'[3]Monthly Curve Calc.'!F265</f>
        <v>3.00298288980961</v>
      </c>
      <c r="G262" s="1255" t="n">
        <f aca="false">IF(AND($A262&gt;G$16,MONTH($A262)=MONTH(G$16)),B261/B249,G261)</f>
        <v>1.069</v>
      </c>
      <c r="H262" s="1253" t="n">
        <f aca="false">IF(AND($A262&gt;H$16,MONTH($A262)=MONTH(H$16)),C261/C249,H261)</f>
        <v>1.02607666287093</v>
      </c>
      <c r="I262" s="1253" t="n">
        <f aca="false">IF(AND($A262&gt;I$16,MONTH($A262)=MONTH(I$16)),C261/C249-I$18,I261)</f>
        <v>1.02357666287093</v>
      </c>
      <c r="J262" s="1253" t="n">
        <f aca="false">IF(AND($A262&gt;J$16,MONTH($A262)=MONTH(J$16)),D261/D249,J261)</f>
        <v>1.01663330728512</v>
      </c>
      <c r="K262" s="1253" t="n">
        <f aca="false">IF($A262&gt;=K$16,IF(MONTH($A262)=MONTH(K$16),AVERAGE(E250:E261),K261),K261)</f>
        <v>24.9058680555557</v>
      </c>
      <c r="L262" s="1256" t="n">
        <f aca="false">IF($A262&gt;=L$16,IF(MONTH($A262)=MONTH(L$16),AVERAGE(F250:F261),L261),L261)</f>
        <v>2.96122241918212</v>
      </c>
      <c r="M262" s="1215" t="n">
        <f aca="false">M261+1</f>
        <v>250</v>
      </c>
      <c r="N262" s="1252" t="n">
        <f aca="false">HLOOKUP(N$14,Dec_Change,$M262)</f>
        <v>1.02607666287093</v>
      </c>
      <c r="O262" s="1253" t="n">
        <f aca="false">O261</f>
        <v>1.005</v>
      </c>
      <c r="P262" s="1256" t="n">
        <f aca="false">IF(AND($A262&gt;=P$16,MONTH($A262)=MONTH(P$16)),MAX(N262,O262)*P261,P261)</f>
        <v>1.63898344452994</v>
      </c>
    </row>
    <row r="263" customFormat="false" ht="12.75" hidden="false" customHeight="false" outlineLevel="0" collapsed="false">
      <c r="A263" s="1254" t="n">
        <f aca="false">EDATE(A262,1)</f>
        <v>42826</v>
      </c>
      <c r="B263" s="1245" t="n">
        <f aca="false">'[3]Monthly Curve Calc.'!B266</f>
        <v>628.145550744524</v>
      </c>
      <c r="C263" s="1246" t="n">
        <f aca="false">'[3]Monthly Curve Calc.'!C266</f>
        <v>269.543981137531</v>
      </c>
      <c r="D263" s="1246" t="n">
        <f aca="false">'[3]Monthly Curve Calc.'!D266</f>
        <v>199.204197680074</v>
      </c>
      <c r="E263" s="1246" t="n">
        <f aca="false">'[3]Monthly Curve Calc.'!E266</f>
        <v>25.0772222222223</v>
      </c>
      <c r="F263" s="1247" t="n">
        <f aca="false">'[3]Monthly Curve Calc.'!F266</f>
        <v>3.00793199167501</v>
      </c>
      <c r="G263" s="1255" t="n">
        <f aca="false">IF(AND($A263&gt;G$16,MONTH($A263)=MONTH(G$16)),B262/B250,G262)</f>
        <v>1.069</v>
      </c>
      <c r="H263" s="1253" t="n">
        <f aca="false">IF(AND($A263&gt;H$16,MONTH($A263)=MONTH(H$16)),C262/C250,H262)</f>
        <v>1.02607666287093</v>
      </c>
      <c r="I263" s="1253" t="n">
        <f aca="false">IF(AND($A263&gt;I$16,MONTH($A263)=MONTH(I$16)),C262/C250-I$18,I262)</f>
        <v>1.02357666287093</v>
      </c>
      <c r="J263" s="1253" t="n">
        <f aca="false">IF(AND($A263&gt;J$16,MONTH($A263)=MONTH(J$16)),D262/D250,J262)</f>
        <v>1.01663330728512</v>
      </c>
      <c r="K263" s="1253" t="n">
        <f aca="false">IF($A263&gt;=K$16,IF(MONTH($A263)=MONTH(K$16),AVERAGE(E251:E262),K262),K262)</f>
        <v>24.9058680555557</v>
      </c>
      <c r="L263" s="1256" t="n">
        <f aca="false">IF($A263&gt;=L$16,IF(MONTH($A263)=MONTH(L$16),AVERAGE(F251:F262),L262),L262)</f>
        <v>2.96122241918212</v>
      </c>
      <c r="M263" s="1215" t="n">
        <f aca="false">M262+1</f>
        <v>251</v>
      </c>
      <c r="N263" s="1252" t="n">
        <f aca="false">HLOOKUP(N$14,Dec_Change,$M263)</f>
        <v>1.02607666287093</v>
      </c>
      <c r="O263" s="1253" t="n">
        <f aca="false">O262</f>
        <v>1.005</v>
      </c>
      <c r="P263" s="1256" t="n">
        <f aca="false">IF(AND($A263&gt;=P$16,MONTH($A263)=MONTH(P$16)),MAX(N263,O263)*P262,P262)</f>
        <v>1.63898344452994</v>
      </c>
    </row>
    <row r="264" customFormat="false" ht="12.75" hidden="false" customHeight="false" outlineLevel="0" collapsed="false">
      <c r="A264" s="1254" t="n">
        <f aca="false">EDATE(A263,1)</f>
        <v>42856</v>
      </c>
      <c r="B264" s="1245" t="n">
        <f aca="false">'[3]Monthly Curve Calc.'!B267</f>
        <v>631.59869741822</v>
      </c>
      <c r="C264" s="1246" t="n">
        <f aca="false">'[3]Monthly Curve Calc.'!C267</f>
        <v>270.14104358857</v>
      </c>
      <c r="D264" s="1246" t="n">
        <f aca="false">'[3]Monthly Curve Calc.'!D267</f>
        <v>199.489539732037</v>
      </c>
      <c r="E264" s="1246" t="n">
        <f aca="false">'[3]Monthly Curve Calc.'!E267</f>
        <v>25.0775694444445</v>
      </c>
      <c r="F264" s="1247" t="n">
        <f aca="false">'[3]Monthly Curve Calc.'!F267</f>
        <v>3.01288924996692</v>
      </c>
      <c r="G264" s="1255" t="n">
        <f aca="false">IF(AND($A264&gt;G$16,MONTH($A264)=MONTH(G$16)),B263/B251,G263)</f>
        <v>1.06866656267332</v>
      </c>
      <c r="H264" s="1253" t="n">
        <f aca="false">IF(AND($A264&gt;H$16,MONTH($A264)=MONTH(H$16)),C263/C251,H263)</f>
        <v>1.02657943516855</v>
      </c>
      <c r="I264" s="1253" t="n">
        <f aca="false">IF(AND($A264&gt;I$16,MONTH($A264)=MONTH(I$16)),C263/C251-I$18,I263)</f>
        <v>1.02407943516855</v>
      </c>
      <c r="J264" s="1253" t="n">
        <f aca="false">IF(AND($A264&gt;J$16,MONTH($A264)=MONTH(J$16)),D263/D251,J263)</f>
        <v>1.01663330728512</v>
      </c>
      <c r="K264" s="1253" t="n">
        <f aca="false">IF($A264&gt;=K$16,IF(MONTH($A264)=MONTH(K$16),AVERAGE(E252:E263),K263),K263)</f>
        <v>24.9058680555557</v>
      </c>
      <c r="L264" s="1256" t="n">
        <f aca="false">IF($A264&gt;=L$16,IF(MONTH($A264)=MONTH(L$16),AVERAGE(F252:F263),L263),L263)</f>
        <v>2.96122241918212</v>
      </c>
      <c r="M264" s="1215" t="n">
        <f aca="false">M263+1</f>
        <v>252</v>
      </c>
      <c r="N264" s="1252" t="n">
        <f aca="false">HLOOKUP(N$14,Dec_Change,$M264)</f>
        <v>1.02657943516855</v>
      </c>
      <c r="O264" s="1253" t="n">
        <f aca="false">O263</f>
        <v>1.005</v>
      </c>
      <c r="P264" s="1256" t="n">
        <f aca="false">IF(AND($A264&gt;=P$16,MONTH($A264)=MONTH(P$16)),MAX(N264,O264)*P263,P263)</f>
        <v>1.68254669873615</v>
      </c>
    </row>
    <row r="265" customFormat="false" ht="12.75" hidden="false" customHeight="false" outlineLevel="0" collapsed="false">
      <c r="A265" s="1254" t="n">
        <f aca="false">EDATE(A264,1)</f>
        <v>42887</v>
      </c>
      <c r="B265" s="1245" t="n">
        <f aca="false">'[3]Monthly Curve Calc.'!B268</f>
        <v>635.070827306771</v>
      </c>
      <c r="C265" s="1246" t="n">
        <f aca="false">'[3]Monthly Curve Calc.'!C268</f>
        <v>270.739428582851</v>
      </c>
      <c r="D265" s="1246" t="n">
        <f aca="false">'[3]Monthly Curve Calc.'!D268</f>
        <v>199.775290510761</v>
      </c>
      <c r="E265" s="1246" t="n">
        <f aca="false">'[3]Monthly Curve Calc.'!E268</f>
        <v>25.0779166666668</v>
      </c>
      <c r="F265" s="1247" t="n">
        <f aca="false">'[3]Monthly Curve Calc.'!F268</f>
        <v>3.01785467812765</v>
      </c>
      <c r="G265" s="1255" t="n">
        <f aca="false">IF(AND($A265&gt;G$16,MONTH($A265)=MONTH(G$16)),B264/B252,G264)</f>
        <v>1.06866656267332</v>
      </c>
      <c r="H265" s="1253" t="n">
        <f aca="false">IF(AND($A265&gt;H$16,MONTH($A265)=MONTH(H$16)),C264/C252,H264)</f>
        <v>1.02657943516855</v>
      </c>
      <c r="I265" s="1253" t="n">
        <f aca="false">IF(AND($A265&gt;I$16,MONTH($A265)=MONTH(I$16)),C264/C252-I$18,I264)</f>
        <v>1.02407943516855</v>
      </c>
      <c r="J265" s="1253" t="n">
        <f aca="false">IF(AND($A265&gt;J$16,MONTH($A265)=MONTH(J$16)),D264/D252,J264)</f>
        <v>1.01663330728512</v>
      </c>
      <c r="K265" s="1253" t="n">
        <f aca="false">IF($A265&gt;=K$16,IF(MONTH($A265)=MONTH(K$16),AVERAGE(E253:E264),K264),K264)</f>
        <v>24.9058680555557</v>
      </c>
      <c r="L265" s="1256" t="n">
        <f aca="false">IF($A265&gt;=L$16,IF(MONTH($A265)=MONTH(L$16),AVERAGE(F253:F264),L264),L264)</f>
        <v>2.96122241918212</v>
      </c>
      <c r="M265" s="1215" t="n">
        <f aca="false">M264+1</f>
        <v>253</v>
      </c>
      <c r="N265" s="1252" t="n">
        <f aca="false">HLOOKUP(N$14,Dec_Change,$M265)</f>
        <v>1.02657943516855</v>
      </c>
      <c r="O265" s="1253" t="n">
        <f aca="false">O264</f>
        <v>1.005</v>
      </c>
      <c r="P265" s="1256" t="n">
        <f aca="false">IF(AND($A265&gt;=P$16,MONTH($A265)=MONTH(P$16)),MAX(N265,O265)*P264,P264)</f>
        <v>1.68254669873615</v>
      </c>
    </row>
    <row r="266" customFormat="false" ht="12.75" hidden="false" customHeight="false" outlineLevel="0" collapsed="false">
      <c r="A266" s="1254" t="n">
        <f aca="false">EDATE(A265,1)</f>
        <v>42917</v>
      </c>
      <c r="B266" s="1245" t="n">
        <f aca="false">'[3]Monthly Curve Calc.'!B269</f>
        <v>638.562044767878</v>
      </c>
      <c r="C266" s="1246" t="n">
        <f aca="false">'[3]Monthly Curve Calc.'!C269</f>
        <v>271.339139049916</v>
      </c>
      <c r="D266" s="1246" t="n">
        <f aca="false">'[3]Monthly Curve Calc.'!D269</f>
        <v>200.061450601712</v>
      </c>
      <c r="E266" s="1246" t="n">
        <f aca="false">'[3]Monthly Curve Calc.'!E269</f>
        <v>25.078263888889</v>
      </c>
      <c r="F266" s="1247" t="n">
        <f aca="false">'[3]Monthly Curve Calc.'!F269</f>
        <v>3.02282828962165</v>
      </c>
      <c r="G266" s="1255" t="n">
        <f aca="false">IF(AND($A266&gt;G$16,MONTH($A266)=MONTH(G$16)),B265/B253,G265)</f>
        <v>1.06866656267332</v>
      </c>
      <c r="H266" s="1253" t="n">
        <f aca="false">IF(AND($A266&gt;H$16,MONTH($A266)=MONTH(H$16)),C265/C253,H265)</f>
        <v>1.02657943516855</v>
      </c>
      <c r="I266" s="1253" t="n">
        <f aca="false">IF(AND($A266&gt;I$16,MONTH($A266)=MONTH(I$16)),C265/C253-I$18,I265)</f>
        <v>1.02407943516855</v>
      </c>
      <c r="J266" s="1253" t="n">
        <f aca="false">IF(AND($A266&gt;J$16,MONTH($A266)=MONTH(J$16)),D265/D253,J265)</f>
        <v>1.01663330728512</v>
      </c>
      <c r="K266" s="1253" t="n">
        <f aca="false">IF($A266&gt;=K$16,IF(MONTH($A266)=MONTH(K$16),AVERAGE(E254:E265),K265),K265)</f>
        <v>24.9058680555557</v>
      </c>
      <c r="L266" s="1256" t="n">
        <f aca="false">IF($A266&gt;=L$16,IF(MONTH($A266)=MONTH(L$16),AVERAGE(F254:F265),L265),L265)</f>
        <v>2.96122241918212</v>
      </c>
      <c r="M266" s="1215" t="n">
        <f aca="false">M265+1</f>
        <v>254</v>
      </c>
      <c r="N266" s="1252" t="n">
        <f aca="false">HLOOKUP(N$14,Dec_Change,$M266)</f>
        <v>1.02657943516855</v>
      </c>
      <c r="O266" s="1253" t="n">
        <f aca="false">O265</f>
        <v>1.005</v>
      </c>
      <c r="P266" s="1256" t="n">
        <f aca="false">IF(AND($A266&gt;=P$16,MONTH($A266)=MONTH(P$16)),MAX(N266,O266)*P265,P265)</f>
        <v>1.68254669873615</v>
      </c>
    </row>
    <row r="267" customFormat="false" ht="12.75" hidden="false" customHeight="false" outlineLevel="0" collapsed="false">
      <c r="A267" s="1254" t="n">
        <f aca="false">EDATE(A266,1)</f>
        <v>42948</v>
      </c>
      <c r="B267" s="1245" t="n">
        <f aca="false">'[3]Monthly Curve Calc.'!B270</f>
        <v>642.072454732934</v>
      </c>
      <c r="C267" s="1246" t="n">
        <f aca="false">'[3]Monthly Curve Calc.'!C270</f>
        <v>271.940177925799</v>
      </c>
      <c r="D267" s="1246" t="n">
        <f aca="false">'[3]Monthly Curve Calc.'!D270</f>
        <v>200.348020591191</v>
      </c>
      <c r="E267" s="1246" t="n">
        <f aca="false">'[3]Monthly Curve Calc.'!E270</f>
        <v>25.0786111111112</v>
      </c>
      <c r="F267" s="1247" t="n">
        <f aca="false">'[3]Monthly Curve Calc.'!F270</f>
        <v>3.02781009793555</v>
      </c>
      <c r="G267" s="1255" t="n">
        <f aca="false">IF(AND($A267&gt;G$16,MONTH($A267)=MONTH(G$16)),B266/B254,G266)</f>
        <v>1.06866656267332</v>
      </c>
      <c r="H267" s="1253" t="n">
        <f aca="false">IF(AND($A267&gt;H$16,MONTH($A267)=MONTH(H$16)),C266/C254,H266)</f>
        <v>1.02657943516855</v>
      </c>
      <c r="I267" s="1253" t="n">
        <f aca="false">IF(AND($A267&gt;I$16,MONTH($A267)=MONTH(I$16)),C266/C254-I$18,I266)</f>
        <v>1.02407943516855</v>
      </c>
      <c r="J267" s="1253" t="n">
        <f aca="false">IF(AND($A267&gt;J$16,MONTH($A267)=MONTH(J$16)),D266/D254,J266)</f>
        <v>1.01663330728512</v>
      </c>
      <c r="K267" s="1253" t="n">
        <f aca="false">IF($A267&gt;=K$16,IF(MONTH($A267)=MONTH(K$16),AVERAGE(E255:E266),K266),K266)</f>
        <v>24.9058680555557</v>
      </c>
      <c r="L267" s="1256" t="n">
        <f aca="false">IF($A267&gt;=L$16,IF(MONTH($A267)=MONTH(L$16),AVERAGE(F255:F266),L266),L266)</f>
        <v>2.96122241918212</v>
      </c>
      <c r="M267" s="1215" t="n">
        <f aca="false">M266+1</f>
        <v>255</v>
      </c>
      <c r="N267" s="1252" t="n">
        <f aca="false">HLOOKUP(N$14,Dec_Change,$M267)</f>
        <v>1.02657943516855</v>
      </c>
      <c r="O267" s="1253" t="n">
        <f aca="false">O266</f>
        <v>1.005</v>
      </c>
      <c r="P267" s="1256" t="n">
        <f aca="false">IF(AND($A267&gt;=P$16,MONTH($A267)=MONTH(P$16)),MAX(N267,O267)*P266,P266)</f>
        <v>1.68254669873615</v>
      </c>
    </row>
    <row r="268" customFormat="false" ht="12.75" hidden="false" customHeight="false" outlineLevel="0" collapsed="false">
      <c r="A268" s="1254" t="n">
        <f aca="false">EDATE(A267,1)</f>
        <v>42979</v>
      </c>
      <c r="B268" s="1245" t="n">
        <f aca="false">'[3]Monthly Curve Calc.'!B271</f>
        <v>645.602162710177</v>
      </c>
      <c r="C268" s="1246" t="n">
        <f aca="false">'[3]Monthly Curve Calc.'!C271</f>
        <v>272.542548153037</v>
      </c>
      <c r="D268" s="1246" t="n">
        <f aca="false">'[3]Monthly Curve Calc.'!D271</f>
        <v>200.635001066342</v>
      </c>
      <c r="E268" s="1246" t="n">
        <f aca="false">'[3]Monthly Curve Calc.'!E271</f>
        <v>25.0789583333334</v>
      </c>
      <c r="F268" s="1247" t="n">
        <f aca="false">'[3]Monthly Curve Calc.'!F271</f>
        <v>3.03280011657821</v>
      </c>
      <c r="G268" s="1255" t="n">
        <f aca="false">IF(AND($A268&gt;G$16,MONTH($A268)=MONTH(G$16)),B267/B255,G267)</f>
        <v>1.06866656267332</v>
      </c>
      <c r="H268" s="1253" t="n">
        <f aca="false">IF(AND($A268&gt;H$16,MONTH($A268)=MONTH(H$16)),C267/C255,H267)</f>
        <v>1.02657943516855</v>
      </c>
      <c r="I268" s="1253" t="n">
        <f aca="false">IF(AND($A268&gt;I$16,MONTH($A268)=MONTH(I$16)),C267/C255-I$18,I267)</f>
        <v>1.02407943516855</v>
      </c>
      <c r="J268" s="1253" t="n">
        <f aca="false">IF(AND($A268&gt;J$16,MONTH($A268)=MONTH(J$16)),D267/D255,J267)</f>
        <v>1.01663330728512</v>
      </c>
      <c r="K268" s="1253" t="n">
        <f aca="false">IF($A268&gt;=K$16,IF(MONTH($A268)=MONTH(K$16),AVERAGE(E256:E267),K267),K267)</f>
        <v>24.9058680555557</v>
      </c>
      <c r="L268" s="1256" t="n">
        <f aca="false">IF($A268&gt;=L$16,IF(MONTH($A268)=MONTH(L$16),AVERAGE(F256:F267),L267),L267)</f>
        <v>2.96122241918212</v>
      </c>
      <c r="M268" s="1215" t="n">
        <f aca="false">M267+1</f>
        <v>256</v>
      </c>
      <c r="N268" s="1252" t="n">
        <f aca="false">HLOOKUP(N$14,Dec_Change,$M268)</f>
        <v>1.02657943516855</v>
      </c>
      <c r="O268" s="1253" t="n">
        <f aca="false">O267</f>
        <v>1.005</v>
      </c>
      <c r="P268" s="1256" t="n">
        <f aca="false">IF(AND($A268&gt;=P$16,MONTH($A268)=MONTH(P$16)),MAX(N268,O268)*P267,P267)</f>
        <v>1.68254669873615</v>
      </c>
    </row>
    <row r="269" customFormat="false" ht="12.75" hidden="false" customHeight="false" outlineLevel="0" collapsed="false">
      <c r="A269" s="1254" t="n">
        <f aca="false">EDATE(A268,1)</f>
        <v>43009</v>
      </c>
      <c r="B269" s="1245" t="n">
        <f aca="false">'[3]Monthly Curve Calc.'!B272</f>
        <v>649.151274787866</v>
      </c>
      <c r="C269" s="1246" t="n">
        <f aca="false">'[3]Monthly Curve Calc.'!C272</f>
        <v>273.146252680685</v>
      </c>
      <c r="D269" s="1246" t="n">
        <f aca="false">'[3]Monthly Curve Calc.'!D272</f>
        <v>200.922392615148</v>
      </c>
      <c r="E269" s="1246" t="n">
        <f aca="false">'[3]Monthly Curve Calc.'!E272</f>
        <v>25.0793055555556</v>
      </c>
      <c r="F269" s="1247" t="n">
        <f aca="false">'[3]Monthly Curve Calc.'!F272</f>
        <v>3.03779835908079</v>
      </c>
      <c r="G269" s="1255" t="n">
        <f aca="false">IF(AND($A269&gt;G$16,MONTH($A269)=MONTH(G$16)),B268/B256,G268)</f>
        <v>1.06866656267332</v>
      </c>
      <c r="H269" s="1253" t="n">
        <f aca="false">IF(AND($A269&gt;H$16,MONTH($A269)=MONTH(H$16)),C268/C256,H268)</f>
        <v>1.02657943516855</v>
      </c>
      <c r="I269" s="1253" t="n">
        <f aca="false">IF(AND($A269&gt;I$16,MONTH($A269)=MONTH(I$16)),C268/C256-I$18,I268)</f>
        <v>1.02407943516855</v>
      </c>
      <c r="J269" s="1253" t="n">
        <f aca="false">IF(AND($A269&gt;J$16,MONTH($A269)=MONTH(J$16)),D268/D256,J268)</f>
        <v>1.01663330728512</v>
      </c>
      <c r="K269" s="1253" t="n">
        <f aca="false">IF($A269&gt;=K$16,IF(MONTH($A269)=MONTH(K$16),AVERAGE(E257:E268),K268),K268)</f>
        <v>24.9058680555557</v>
      </c>
      <c r="L269" s="1256" t="n">
        <f aca="false">IF($A269&gt;=L$16,IF(MONTH($A269)=MONTH(L$16),AVERAGE(F257:F268),L268),L268)</f>
        <v>2.96122241918212</v>
      </c>
      <c r="M269" s="1215" t="n">
        <f aca="false">M268+1</f>
        <v>257</v>
      </c>
      <c r="N269" s="1252" t="n">
        <f aca="false">HLOOKUP(N$14,Dec_Change,$M269)</f>
        <v>1.02657943516855</v>
      </c>
      <c r="O269" s="1253" t="n">
        <f aca="false">O268</f>
        <v>1.005</v>
      </c>
      <c r="P269" s="1256" t="n">
        <f aca="false">IF(AND($A269&gt;=P$16,MONTH($A269)=MONTH(P$16)),MAX(N269,O269)*P268,P268)</f>
        <v>1.68254669873615</v>
      </c>
    </row>
    <row r="270" customFormat="false" ht="12.75" hidden="false" customHeight="false" outlineLevel="0" collapsed="false">
      <c r="A270" s="1254" t="n">
        <f aca="false">EDATE(A269,1)</f>
        <v>43040</v>
      </c>
      <c r="B270" s="1245" t="n">
        <f aca="false">'[3]Monthly Curve Calc.'!B273</f>
        <v>652.719897637462</v>
      </c>
      <c r="C270" s="1246" t="n">
        <f aca="false">'[3]Monthly Curve Calc.'!C273</f>
        <v>273.751294464328</v>
      </c>
      <c r="D270" s="1246" t="n">
        <f aca="false">'[3]Monthly Curve Calc.'!D273</f>
        <v>201.210195826435</v>
      </c>
      <c r="E270" s="1246" t="n">
        <f aca="false">'[3]Monthly Curve Calc.'!E273</f>
        <v>25.0796527777779</v>
      </c>
      <c r="F270" s="1247" t="n">
        <f aca="false">'[3]Monthly Curve Calc.'!F273</f>
        <v>3.04280483899669</v>
      </c>
      <c r="G270" s="1255" t="n">
        <f aca="false">IF(AND($A270&gt;G$16,MONTH($A270)=MONTH(G$16)),B269/B257,G269)</f>
        <v>1.06866656267332</v>
      </c>
      <c r="H270" s="1253" t="n">
        <f aca="false">IF(AND($A270&gt;H$16,MONTH($A270)=MONTH(H$16)),C269/C257,H269)</f>
        <v>1.02657943516855</v>
      </c>
      <c r="I270" s="1253" t="n">
        <f aca="false">IF(AND($A270&gt;I$16,MONTH($A270)=MONTH(I$16)),C269/C257-I$18,I269)</f>
        <v>1.02407943516855</v>
      </c>
      <c r="J270" s="1253" t="n">
        <f aca="false">IF(AND($A270&gt;J$16,MONTH($A270)=MONTH(J$16)),D269/D257,J269)</f>
        <v>1.01663330728512</v>
      </c>
      <c r="K270" s="1253" t="n">
        <f aca="false">IF($A270&gt;=K$16,IF(MONTH($A270)=MONTH(K$16),AVERAGE(E258:E269),K269),K269)</f>
        <v>24.9058680555557</v>
      </c>
      <c r="L270" s="1256" t="n">
        <f aca="false">IF($A270&gt;=L$16,IF(MONTH($A270)=MONTH(L$16),AVERAGE(F258:F269),L269),L269)</f>
        <v>2.96122241918212</v>
      </c>
      <c r="M270" s="1215" t="n">
        <f aca="false">M269+1</f>
        <v>258</v>
      </c>
      <c r="N270" s="1252" t="n">
        <f aca="false">HLOOKUP(N$14,Dec_Change,$M270)</f>
        <v>1.02657943516855</v>
      </c>
      <c r="O270" s="1253" t="n">
        <f aca="false">O269</f>
        <v>1.005</v>
      </c>
      <c r="P270" s="1256" t="n">
        <f aca="false">IF(AND($A270&gt;=P$16,MONTH($A270)=MONTH(P$16)),MAX(N270,O270)*P269,P269)</f>
        <v>1.68254669873615</v>
      </c>
    </row>
    <row r="271" customFormat="false" ht="12.75" hidden="false" customHeight="false" outlineLevel="0" collapsed="false">
      <c r="A271" s="1254" t="n">
        <f aca="false">EDATE(A270,1)</f>
        <v>43070</v>
      </c>
      <c r="B271" s="1245" t="n">
        <f aca="false">'[3]Monthly Curve Calc.'!B274</f>
        <v>656.308138516842</v>
      </c>
      <c r="C271" s="1246" t="n">
        <f aca="false">'[3]Monthly Curve Calc.'!C274</f>
        <v>274.357676466101</v>
      </c>
      <c r="D271" s="1246" t="n">
        <f aca="false">'[3]Monthly Curve Calc.'!D274</f>
        <v>201.498411289872</v>
      </c>
      <c r="E271" s="1246" t="n">
        <f aca="false">'[3]Monthly Curve Calc.'!E274</f>
        <v>25.0800000000001</v>
      </c>
      <c r="F271" s="1247" t="n">
        <f aca="false">'[3]Monthly Curve Calc.'!F274</f>
        <v>3.04781956990169</v>
      </c>
      <c r="G271" s="1255" t="n">
        <f aca="false">IF(AND($A271&gt;G$16,MONTH($A271)=MONTH(G$16)),B270/B258,G270)</f>
        <v>1.06866656267332</v>
      </c>
      <c r="H271" s="1253" t="n">
        <f aca="false">IF(AND($A271&gt;H$16,MONTH($A271)=MONTH(H$16)),C270/C258,H270)</f>
        <v>1.02657943516855</v>
      </c>
      <c r="I271" s="1253" t="n">
        <f aca="false">IF(AND($A271&gt;I$16,MONTH($A271)=MONTH(I$16)),C270/C258-I$18,I270)</f>
        <v>1.02407943516855</v>
      </c>
      <c r="J271" s="1253" t="n">
        <f aca="false">IF(AND($A271&gt;J$16,MONTH($A271)=MONTH(J$16)),D270/D258,J270)</f>
        <v>1.01663330728512</v>
      </c>
      <c r="K271" s="1253" t="n">
        <f aca="false">IF($A271&gt;=K$16,IF(MONTH($A271)=MONTH(K$16),AVERAGE(E259:E270),K270),K270)</f>
        <v>24.9058680555557</v>
      </c>
      <c r="L271" s="1256" t="n">
        <f aca="false">IF($A271&gt;=L$16,IF(MONTH($A271)=MONTH(L$16),AVERAGE(F259:F270),L270),L270)</f>
        <v>2.96122241918212</v>
      </c>
      <c r="M271" s="1215" t="n">
        <f aca="false">M270+1</f>
        <v>259</v>
      </c>
      <c r="N271" s="1252" t="n">
        <f aca="false">HLOOKUP(N$14,Dec_Change,$M271)</f>
        <v>1.02657943516855</v>
      </c>
      <c r="O271" s="1253" t="n">
        <f aca="false">O270</f>
        <v>1.005</v>
      </c>
      <c r="P271" s="1256" t="n">
        <f aca="false">IF(AND($A271&gt;=P$16,MONTH($A271)=MONTH(P$16)),MAX(N271,O271)*P270,P270)</f>
        <v>1.68254669873615</v>
      </c>
    </row>
    <row r="272" customFormat="false" ht="12.75" hidden="false" customHeight="false" outlineLevel="0" collapsed="false">
      <c r="A272" s="1254" t="n">
        <f aca="false">EDATE(A271,1)</f>
        <v>43101</v>
      </c>
      <c r="B272" s="1245" t="n">
        <f aca="false">'[3]Monthly Curve Calc.'!B275</f>
        <v>659.916105273517</v>
      </c>
      <c r="C272" s="1246" t="n">
        <f aca="false">'[3]Monthly Curve Calc.'!C275</f>
        <v>274.973117170653</v>
      </c>
      <c r="D272" s="1246" t="n">
        <f aca="false">'[3]Monthly Curve Calc.'!D275</f>
        <v>201.799638495327</v>
      </c>
      <c r="E272" s="1246" t="n">
        <f aca="false">'[3]Monthly Curve Calc.'!E275</f>
        <v>25.0800000000001</v>
      </c>
      <c r="F272" s="1247" t="n">
        <f aca="false">'[3]Monthly Curve Calc.'!F275</f>
        <v>3.05285098115965</v>
      </c>
      <c r="G272" s="1255" t="n">
        <f aca="false">IF(AND($A272&gt;G$16,MONTH($A272)=MONTH(G$16)),B271/B259,G271)</f>
        <v>1.06866656267332</v>
      </c>
      <c r="H272" s="1253" t="n">
        <f aca="false">IF(AND($A272&gt;H$16,MONTH($A272)=MONTH(H$16)),C271/C259,H271)</f>
        <v>1.02657943516855</v>
      </c>
      <c r="I272" s="1253" t="n">
        <f aca="false">IF(AND($A272&gt;I$16,MONTH($A272)=MONTH(I$16)),C271/C259-I$18,I271)</f>
        <v>1.02407943516855</v>
      </c>
      <c r="J272" s="1253" t="n">
        <f aca="false">IF(AND($A272&gt;J$16,MONTH($A272)=MONTH(J$16)),D271/D259,J271)</f>
        <v>1.01732498535784</v>
      </c>
      <c r="K272" s="1253" t="n">
        <f aca="false">IF($A272&gt;=K$16,IF(MONTH($A272)=MONTH(K$16),AVERAGE(E260:E271),K271),K271)</f>
        <v>25.0780902777779</v>
      </c>
      <c r="L272" s="1256" t="n">
        <f aca="false">IF($A272&gt;=L$16,IF(MONTH($A272)=MONTH(L$16),AVERAGE(F260:F271),L271),L271)</f>
        <v>3.02038925952867</v>
      </c>
      <c r="M272" s="1215" t="n">
        <f aca="false">M271+1</f>
        <v>260</v>
      </c>
      <c r="N272" s="1252" t="n">
        <f aca="false">HLOOKUP(N$14,Dec_Change,$M272)</f>
        <v>1.02657943516855</v>
      </c>
      <c r="O272" s="1253" t="n">
        <f aca="false">O271</f>
        <v>1.005</v>
      </c>
      <c r="P272" s="1256" t="n">
        <f aca="false">IF(AND($A272&gt;=P$16,MONTH($A272)=MONTH(P$16)),MAX(N272,O272)*P271,P271)</f>
        <v>1.68254669873615</v>
      </c>
    </row>
    <row r="273" customFormat="false" ht="12.75" hidden="false" customHeight="false" outlineLevel="0" collapsed="false">
      <c r="A273" s="1254" t="n">
        <f aca="false">EDATE(A272,1)</f>
        <v>43132</v>
      </c>
      <c r="B273" s="1245" t="n">
        <f aca="false">'[3]Monthly Curve Calc.'!B276</f>
        <v>663.543906347874</v>
      </c>
      <c r="C273" s="1246" t="n">
        <f aca="false">'[3]Monthly Curve Calc.'!C276</f>
        <v>275.589938435303</v>
      </c>
      <c r="D273" s="1246" t="n">
        <f aca="false">'[3]Monthly Curve Calc.'!D276</f>
        <v>202.101316016141</v>
      </c>
      <c r="E273" s="1246" t="n">
        <f aca="false">'[3]Monthly Curve Calc.'!E276</f>
        <v>25.0800000000001</v>
      </c>
      <c r="F273" s="1247" t="n">
        <f aca="false">'[3]Monthly Curve Calc.'!F276</f>
        <v>3.05789069838804</v>
      </c>
      <c r="G273" s="1255" t="n">
        <f aca="false">IF(AND($A273&gt;G$16,MONTH($A273)=MONTH(G$16)),B272/B260,G272)</f>
        <v>1.06866656267332</v>
      </c>
      <c r="H273" s="1253" t="n">
        <f aca="false">IF(AND($A273&gt;H$16,MONTH($A273)=MONTH(H$16)),C272/C260,H272)</f>
        <v>1.02657943516855</v>
      </c>
      <c r="I273" s="1253" t="n">
        <f aca="false">IF(AND($A273&gt;I$16,MONTH($A273)=MONTH(I$16)),C272/C260-I$18,I272)</f>
        <v>1.02407943516855</v>
      </c>
      <c r="J273" s="1253" t="n">
        <f aca="false">IF(AND($A273&gt;J$16,MONTH($A273)=MONTH(J$16)),D272/D260,J272)</f>
        <v>1.01732498535784</v>
      </c>
      <c r="K273" s="1253" t="n">
        <f aca="false">IF($A273&gt;=K$16,IF(MONTH($A273)=MONTH(K$16),AVERAGE(E261:E272),K272),K272)</f>
        <v>25.0780902777779</v>
      </c>
      <c r="L273" s="1256" t="n">
        <f aca="false">IF($A273&gt;=L$16,IF(MONTH($A273)=MONTH(L$16),AVERAGE(F261:F272),L272),L272)</f>
        <v>3.02038925952867</v>
      </c>
      <c r="M273" s="1215" t="n">
        <f aca="false">M272+1</f>
        <v>261</v>
      </c>
      <c r="N273" s="1252" t="n">
        <f aca="false">HLOOKUP(N$14,Dec_Change,$M273)</f>
        <v>1.02657943516855</v>
      </c>
      <c r="O273" s="1253" t="n">
        <f aca="false">O272</f>
        <v>1.005</v>
      </c>
      <c r="P273" s="1256" t="n">
        <f aca="false">IF(AND($A273&gt;=P$16,MONTH($A273)=MONTH(P$16)),MAX(N273,O273)*P272,P272)</f>
        <v>1.68254669873615</v>
      </c>
    </row>
    <row r="274" customFormat="false" ht="12.75" hidden="false" customHeight="false" outlineLevel="0" collapsed="false">
      <c r="A274" s="1254" t="n">
        <f aca="false">EDATE(A273,1)</f>
        <v>43160</v>
      </c>
      <c r="B274" s="1245" t="n">
        <f aca="false">'[3]Monthly Curve Calc.'!B277</f>
        <v>667.19165077644</v>
      </c>
      <c r="C274" s="1246" t="n">
        <f aca="false">'[3]Monthly Curve Calc.'!C277</f>
        <v>276.208143356931</v>
      </c>
      <c r="D274" s="1246" t="n">
        <f aca="false">'[3]Monthly Curve Calc.'!D277</f>
        <v>202.403444525506</v>
      </c>
      <c r="E274" s="1246" t="n">
        <f aca="false">'[3]Monthly Curve Calc.'!E277</f>
        <v>25.0800000000001</v>
      </c>
      <c r="F274" s="1247" t="n">
        <f aca="false">'[3]Monthly Curve Calc.'!F277</f>
        <v>3.06293873529856</v>
      </c>
      <c r="G274" s="1255" t="n">
        <f aca="false">IF(AND($A274&gt;G$16,MONTH($A274)=MONTH(G$16)),B273/B261,G273)</f>
        <v>1.06866656267332</v>
      </c>
      <c r="H274" s="1253" t="n">
        <f aca="false">IF(AND($A274&gt;H$16,MONTH($A274)=MONTH(H$16)),C273/C261,H273)</f>
        <v>1.02657943516855</v>
      </c>
      <c r="I274" s="1253" t="n">
        <f aca="false">IF(AND($A274&gt;I$16,MONTH($A274)=MONTH(I$16)),C273/C261-I$18,I273)</f>
        <v>1.02407943516855</v>
      </c>
      <c r="J274" s="1253" t="n">
        <f aca="false">IF(AND($A274&gt;J$16,MONTH($A274)=MONTH(J$16)),D273/D261,J273)</f>
        <v>1.01732498535784</v>
      </c>
      <c r="K274" s="1253" t="n">
        <f aca="false">IF($A274&gt;=K$16,IF(MONTH($A274)=MONTH(K$16),AVERAGE(E262:E273),K273),K273)</f>
        <v>25.0780902777779</v>
      </c>
      <c r="L274" s="1256" t="n">
        <f aca="false">IF($A274&gt;=L$16,IF(MONTH($A274)=MONTH(L$16),AVERAGE(F262:F273),L273),L273)</f>
        <v>3.02038925952867</v>
      </c>
      <c r="M274" s="1215" t="n">
        <f aca="false">M273+1</f>
        <v>262</v>
      </c>
      <c r="N274" s="1252" t="n">
        <f aca="false">HLOOKUP(N$14,Dec_Change,$M274)</f>
        <v>1.02657943516855</v>
      </c>
      <c r="O274" s="1253" t="n">
        <f aca="false">O273</f>
        <v>1.005</v>
      </c>
      <c r="P274" s="1256" t="n">
        <f aca="false">IF(AND($A274&gt;=P$16,MONTH($A274)=MONTH(P$16)),MAX(N274,O274)*P273,P273)</f>
        <v>1.68254669873615</v>
      </c>
    </row>
    <row r="275" customFormat="false" ht="12.75" hidden="false" customHeight="false" outlineLevel="0" collapsed="false">
      <c r="A275" s="1254" t="n">
        <f aca="false">EDATE(A274,1)</f>
        <v>43191</v>
      </c>
      <c r="B275" s="1245" t="n">
        <f aca="false">'[3]Monthly Curve Calc.'!B278</f>
        <v>670.859448195152</v>
      </c>
      <c r="C275" s="1246" t="n">
        <f aca="false">'[3]Monthly Curve Calc.'!C278</f>
        <v>276.827735039366</v>
      </c>
      <c r="D275" s="1246" t="n">
        <f aca="false">'[3]Monthly Curve Calc.'!D278</f>
        <v>202.70602469762</v>
      </c>
      <c r="E275" s="1246" t="n">
        <f aca="false">'[3]Monthly Curve Calc.'!E278</f>
        <v>25.0800000000001</v>
      </c>
      <c r="F275" s="1247" t="n">
        <f aca="false">'[3]Monthly Curve Calc.'!F278</f>
        <v>3.06799510562553</v>
      </c>
      <c r="G275" s="1255" t="n">
        <f aca="false">IF(AND($A275&gt;G$16,MONTH($A275)=MONTH(G$16)),B274/B262,G274)</f>
        <v>1.06866656267332</v>
      </c>
      <c r="H275" s="1253" t="n">
        <f aca="false">IF(AND($A275&gt;H$16,MONTH($A275)=MONTH(H$16)),C274/C262,H274)</f>
        <v>1.02657943516855</v>
      </c>
      <c r="I275" s="1253" t="n">
        <f aca="false">IF(AND($A275&gt;I$16,MONTH($A275)=MONTH(I$16)),C274/C262-I$18,I274)</f>
        <v>1.02407943516855</v>
      </c>
      <c r="J275" s="1253" t="n">
        <f aca="false">IF(AND($A275&gt;J$16,MONTH($A275)=MONTH(J$16)),D274/D262,J274)</f>
        <v>1.01732498535784</v>
      </c>
      <c r="K275" s="1253" t="n">
        <f aca="false">IF($A275&gt;=K$16,IF(MONTH($A275)=MONTH(K$16),AVERAGE(E263:E274),K274),K274)</f>
        <v>25.0780902777779</v>
      </c>
      <c r="L275" s="1256" t="n">
        <f aca="false">IF($A275&gt;=L$16,IF(MONTH($A275)=MONTH(L$16),AVERAGE(F263:F274),L274),L274)</f>
        <v>3.02038925952867</v>
      </c>
      <c r="M275" s="1215" t="n">
        <f aca="false">M274+1</f>
        <v>263</v>
      </c>
      <c r="N275" s="1252" t="n">
        <f aca="false">HLOOKUP(N$14,Dec_Change,$M275)</f>
        <v>1.02657943516855</v>
      </c>
      <c r="O275" s="1253" t="n">
        <f aca="false">O274</f>
        <v>1.005</v>
      </c>
      <c r="P275" s="1256" t="n">
        <f aca="false">IF(AND($A275&gt;=P$16,MONTH($A275)=MONTH(P$16)),MAX(N275,O275)*P274,P274)</f>
        <v>1.68254669873615</v>
      </c>
    </row>
    <row r="276" customFormat="false" ht="12.75" hidden="false" customHeight="false" outlineLevel="0" collapsed="false">
      <c r="A276" s="1254" t="n">
        <f aca="false">EDATE(A275,1)</f>
        <v>43221</v>
      </c>
      <c r="B276" s="1245" t="n">
        <f aca="false">'[3]Monthly Curve Calc.'!B279</f>
        <v>674.54740884266</v>
      </c>
      <c r="C276" s="1246" t="n">
        <f aca="false">'[3]Monthly Curve Calc.'!C279</f>
        <v>277.448716593396</v>
      </c>
      <c r="D276" s="1246" t="n">
        <f aca="false">'[3]Monthly Curve Calc.'!D279</f>
        <v>203.009057207692</v>
      </c>
      <c r="E276" s="1246" t="n">
        <f aca="false">'[3]Monthly Curve Calc.'!E279</f>
        <v>25.0800000000001</v>
      </c>
      <c r="F276" s="1247" t="n">
        <f aca="false">'[3]Monthly Curve Calc.'!F279</f>
        <v>3.07305982312594</v>
      </c>
      <c r="G276" s="1255" t="n">
        <f aca="false">IF(AND($A276&gt;G$16,MONTH($A276)=MONTH(G$16)),B275/B263,G275)</f>
        <v>1.068</v>
      </c>
      <c r="H276" s="1253" t="n">
        <f aca="false">IF(AND($A276&gt;H$16,MONTH($A276)=MONTH(H$16)),C275/C263,H275)</f>
        <v>1.02702250620139</v>
      </c>
      <c r="I276" s="1253" t="n">
        <f aca="false">IF(AND($A276&gt;I$16,MONTH($A276)=MONTH(I$16)),C275/C263-I$18,I275)</f>
        <v>1.02452250620139</v>
      </c>
      <c r="J276" s="1253" t="n">
        <f aca="false">IF(AND($A276&gt;J$16,MONTH($A276)=MONTH(J$16)),D275/D263,J275)</f>
        <v>1.01732498535784</v>
      </c>
      <c r="K276" s="1253" t="n">
        <f aca="false">IF($A276&gt;=K$16,IF(MONTH($A276)=MONTH(K$16),AVERAGE(E264:E275),K275),K275)</f>
        <v>25.0780902777779</v>
      </c>
      <c r="L276" s="1256" t="n">
        <f aca="false">IF($A276&gt;=L$16,IF(MONTH($A276)=MONTH(L$16),AVERAGE(F264:F275),L275),L275)</f>
        <v>3.02038925952867</v>
      </c>
      <c r="M276" s="1215" t="n">
        <f aca="false">M275+1</f>
        <v>264</v>
      </c>
      <c r="N276" s="1252" t="n">
        <f aca="false">HLOOKUP(N$14,Dec_Change,$M276)</f>
        <v>1.02702250620139</v>
      </c>
      <c r="O276" s="1253" t="n">
        <f aca="false">O275</f>
        <v>1.005</v>
      </c>
      <c r="P276" s="1256" t="n">
        <f aca="false">IF(AND($A276&gt;=P$16,MONTH($A276)=MONTH(P$16)),MAX(N276,O276)*P275,P275)</f>
        <v>1.72801332733687</v>
      </c>
    </row>
    <row r="277" customFormat="false" ht="12.75" hidden="false" customHeight="false" outlineLevel="0" collapsed="false">
      <c r="A277" s="1254" t="n">
        <f aca="false">EDATE(A276,1)</f>
        <v>43252</v>
      </c>
      <c r="B277" s="1245" t="n">
        <f aca="false">'[3]Monthly Curve Calc.'!B280</f>
        <v>678.255643563632</v>
      </c>
      <c r="C277" s="1246" t="n">
        <f aca="false">'[3]Monthly Curve Calc.'!C280</f>
        <v>278.07109113679</v>
      </c>
      <c r="D277" s="1246" t="n">
        <f aca="false">'[3]Monthly Curve Calc.'!D280</f>
        <v>203.312542731937</v>
      </c>
      <c r="E277" s="1246" t="n">
        <f aca="false">'[3]Monthly Curve Calc.'!E280</f>
        <v>25.0800000000001</v>
      </c>
      <c r="F277" s="1247" t="n">
        <f aca="false">'[3]Monthly Curve Calc.'!F280</f>
        <v>3.07813290157952</v>
      </c>
      <c r="G277" s="1255" t="n">
        <f aca="false">IF(AND($A277&gt;G$16,MONTH($A277)=MONTH(G$16)),B276/B264,G276)</f>
        <v>1.068</v>
      </c>
      <c r="H277" s="1253" t="n">
        <f aca="false">IF(AND($A277&gt;H$16,MONTH($A277)=MONTH(H$16)),C276/C264,H276)</f>
        <v>1.02702250620139</v>
      </c>
      <c r="I277" s="1253" t="n">
        <f aca="false">IF(AND($A277&gt;I$16,MONTH($A277)=MONTH(I$16)),C276/C264-I$18,I276)</f>
        <v>1.02452250620139</v>
      </c>
      <c r="J277" s="1253" t="n">
        <f aca="false">IF(AND($A277&gt;J$16,MONTH($A277)=MONTH(J$16)),D276/D264,J276)</f>
        <v>1.01732498535784</v>
      </c>
      <c r="K277" s="1253" t="n">
        <f aca="false">IF($A277&gt;=K$16,IF(MONTH($A277)=MONTH(K$16),AVERAGE(E265:E276),K276),K276)</f>
        <v>25.0780902777779</v>
      </c>
      <c r="L277" s="1256" t="n">
        <f aca="false">IF($A277&gt;=L$16,IF(MONTH($A277)=MONTH(L$16),AVERAGE(F265:F276),L276),L276)</f>
        <v>3.02038925952867</v>
      </c>
      <c r="M277" s="1215" t="n">
        <f aca="false">M276+1</f>
        <v>265</v>
      </c>
      <c r="N277" s="1252" t="n">
        <f aca="false">HLOOKUP(N$14,Dec_Change,$M277)</f>
        <v>1.02702250620139</v>
      </c>
      <c r="O277" s="1253" t="n">
        <f aca="false">O276</f>
        <v>1.005</v>
      </c>
      <c r="P277" s="1256" t="n">
        <f aca="false">IF(AND($A277&gt;=P$16,MONTH($A277)=MONTH(P$16)),MAX(N277,O277)*P276,P276)</f>
        <v>1.72801332733687</v>
      </c>
    </row>
    <row r="278" customFormat="false" ht="12.75" hidden="false" customHeight="false" outlineLevel="0" collapsed="false">
      <c r="A278" s="1254" t="n">
        <f aca="false">EDATE(A277,1)</f>
        <v>43282</v>
      </c>
      <c r="B278" s="1245" t="n">
        <f aca="false">'[3]Monthly Curve Calc.'!B281</f>
        <v>681.984263812095</v>
      </c>
      <c r="C278" s="1246" t="n">
        <f aca="false">'[3]Monthly Curve Calc.'!C281</f>
        <v>278.694861794309</v>
      </c>
      <c r="D278" s="1246" t="n">
        <f aca="false">'[3]Monthly Curve Calc.'!D281</f>
        <v>203.616481947581</v>
      </c>
      <c r="E278" s="1246" t="n">
        <f aca="false">'[3]Monthly Curve Calc.'!E281</f>
        <v>25.0800000000001</v>
      </c>
      <c r="F278" s="1247" t="n">
        <f aca="false">'[3]Monthly Curve Calc.'!F281</f>
        <v>3.0832143547887</v>
      </c>
      <c r="G278" s="1255" t="n">
        <f aca="false">IF(AND($A278&gt;G$16,MONTH($A278)=MONTH(G$16)),B277/B265,G277)</f>
        <v>1.068</v>
      </c>
      <c r="H278" s="1253" t="n">
        <f aca="false">IF(AND($A278&gt;H$16,MONTH($A278)=MONTH(H$16)),C277/C265,H277)</f>
        <v>1.02702250620139</v>
      </c>
      <c r="I278" s="1253" t="n">
        <f aca="false">IF(AND($A278&gt;I$16,MONTH($A278)=MONTH(I$16)),C277/C265-I$18,I277)</f>
        <v>1.02452250620139</v>
      </c>
      <c r="J278" s="1253" t="n">
        <f aca="false">IF(AND($A278&gt;J$16,MONTH($A278)=MONTH(J$16)),D277/D265,J277)</f>
        <v>1.01732498535784</v>
      </c>
      <c r="K278" s="1253" t="n">
        <f aca="false">IF($A278&gt;=K$16,IF(MONTH($A278)=MONTH(K$16),AVERAGE(E266:E277),K277),K277)</f>
        <v>25.0780902777779</v>
      </c>
      <c r="L278" s="1256" t="n">
        <f aca="false">IF($A278&gt;=L$16,IF(MONTH($A278)=MONTH(L$16),AVERAGE(F266:F277),L277),L277)</f>
        <v>3.02038925952867</v>
      </c>
      <c r="M278" s="1215" t="n">
        <f aca="false">M277+1</f>
        <v>266</v>
      </c>
      <c r="N278" s="1252" t="n">
        <f aca="false">HLOOKUP(N$14,Dec_Change,$M278)</f>
        <v>1.02702250620139</v>
      </c>
      <c r="O278" s="1253" t="n">
        <f aca="false">O277</f>
        <v>1.005</v>
      </c>
      <c r="P278" s="1256" t="n">
        <f aca="false">IF(AND($A278&gt;=P$16,MONTH($A278)=MONTH(P$16)),MAX(N278,O278)*P277,P277)</f>
        <v>1.72801332733687</v>
      </c>
    </row>
    <row r="279" customFormat="false" ht="12.75" hidden="false" customHeight="false" outlineLevel="0" collapsed="false">
      <c r="A279" s="1254" t="n">
        <f aca="false">EDATE(A278,1)</f>
        <v>43313</v>
      </c>
      <c r="B279" s="1245" t="n">
        <f aca="false">'[3]Monthly Curve Calc.'!B282</f>
        <v>685.733381654774</v>
      </c>
      <c r="C279" s="1246" t="n">
        <f aca="false">'[3]Monthly Curve Calc.'!C282</f>
        <v>279.320031697725</v>
      </c>
      <c r="D279" s="1246" t="n">
        <f aca="false">'[3]Monthly Curve Calc.'!D282</f>
        <v>203.920875532866</v>
      </c>
      <c r="E279" s="1246" t="n">
        <f aca="false">'[3]Monthly Curve Calc.'!E282</f>
        <v>25.0800000000001</v>
      </c>
      <c r="F279" s="1247" t="n">
        <f aca="false">'[3]Monthly Curve Calc.'!F282</f>
        <v>3.08830419657873</v>
      </c>
      <c r="G279" s="1255" t="n">
        <f aca="false">IF(AND($A279&gt;G$16,MONTH($A279)=MONTH(G$16)),B278/B266,G278)</f>
        <v>1.068</v>
      </c>
      <c r="H279" s="1253" t="n">
        <f aca="false">IF(AND($A279&gt;H$16,MONTH($A279)=MONTH(H$16)),C278/C266,H278)</f>
        <v>1.02702250620139</v>
      </c>
      <c r="I279" s="1253" t="n">
        <f aca="false">IF(AND($A279&gt;I$16,MONTH($A279)=MONTH(I$16)),C278/C266-I$18,I278)</f>
        <v>1.02452250620139</v>
      </c>
      <c r="J279" s="1253" t="n">
        <f aca="false">IF(AND($A279&gt;J$16,MONTH($A279)=MONTH(J$16)),D278/D266,J278)</f>
        <v>1.01732498535784</v>
      </c>
      <c r="K279" s="1253" t="n">
        <f aca="false">IF($A279&gt;=K$16,IF(MONTH($A279)=MONTH(K$16),AVERAGE(E267:E278),K278),K278)</f>
        <v>25.0780902777779</v>
      </c>
      <c r="L279" s="1256" t="n">
        <f aca="false">IF($A279&gt;=L$16,IF(MONTH($A279)=MONTH(L$16),AVERAGE(F267:F278),L278),L278)</f>
        <v>3.02038925952867</v>
      </c>
      <c r="M279" s="1215" t="n">
        <f aca="false">M278+1</f>
        <v>267</v>
      </c>
      <c r="N279" s="1252" t="n">
        <f aca="false">HLOOKUP(N$14,Dec_Change,$M279)</f>
        <v>1.02702250620139</v>
      </c>
      <c r="O279" s="1253" t="n">
        <f aca="false">O278</f>
        <v>1.005</v>
      </c>
      <c r="P279" s="1256" t="n">
        <f aca="false">IF(AND($A279&gt;=P$16,MONTH($A279)=MONTH(P$16)),MAX(N279,O279)*P278,P278)</f>
        <v>1.72801332733687</v>
      </c>
    </row>
    <row r="280" customFormat="false" ht="12.75" hidden="false" customHeight="false" outlineLevel="0" collapsed="false">
      <c r="A280" s="1254" t="n">
        <f aca="false">EDATE(A279,1)</f>
        <v>43344</v>
      </c>
      <c r="B280" s="1245" t="n">
        <f aca="false">'[3]Monthly Curve Calc.'!B283</f>
        <v>689.50310977447</v>
      </c>
      <c r="C280" s="1246" t="n">
        <f aca="false">'[3]Monthly Curve Calc.'!C283</f>
        <v>279.946603985833</v>
      </c>
      <c r="D280" s="1246" t="n">
        <f aca="false">'[3]Monthly Curve Calc.'!D283</f>
        <v>204.225724167044</v>
      </c>
      <c r="E280" s="1246" t="n">
        <f aca="false">'[3]Monthly Curve Calc.'!E283</f>
        <v>25.0800000000001</v>
      </c>
      <c r="F280" s="1247" t="n">
        <f aca="false">'[3]Monthly Curve Calc.'!F283</f>
        <v>3.09340244079768</v>
      </c>
      <c r="G280" s="1255" t="n">
        <f aca="false">IF(AND($A280&gt;G$16,MONTH($A280)=MONTH(G$16)),B279/B267,G279)</f>
        <v>1.068</v>
      </c>
      <c r="H280" s="1253" t="n">
        <f aca="false">IF(AND($A280&gt;H$16,MONTH($A280)=MONTH(H$16)),C279/C267,H279)</f>
        <v>1.02702250620139</v>
      </c>
      <c r="I280" s="1253" t="n">
        <f aca="false">IF(AND($A280&gt;I$16,MONTH($A280)=MONTH(I$16)),C279/C267-I$18,I279)</f>
        <v>1.02452250620139</v>
      </c>
      <c r="J280" s="1253" t="n">
        <f aca="false">IF(AND($A280&gt;J$16,MONTH($A280)=MONTH(J$16)),D279/D267,J279)</f>
        <v>1.01732498535784</v>
      </c>
      <c r="K280" s="1253" t="n">
        <f aca="false">IF($A280&gt;=K$16,IF(MONTH($A280)=MONTH(K$16),AVERAGE(E268:E279),K279),K279)</f>
        <v>25.0780902777779</v>
      </c>
      <c r="L280" s="1256" t="n">
        <f aca="false">IF($A280&gt;=L$16,IF(MONTH($A280)=MONTH(L$16),AVERAGE(F268:F279),L279),L279)</f>
        <v>3.02038925952867</v>
      </c>
      <c r="M280" s="1215" t="n">
        <f aca="false">M279+1</f>
        <v>268</v>
      </c>
      <c r="N280" s="1252" t="n">
        <f aca="false">HLOOKUP(N$14,Dec_Change,$M280)</f>
        <v>1.02702250620139</v>
      </c>
      <c r="O280" s="1253" t="n">
        <f aca="false">O279</f>
        <v>1.005</v>
      </c>
      <c r="P280" s="1256" t="n">
        <f aca="false">IF(AND($A280&gt;=P$16,MONTH($A280)=MONTH(P$16)),MAX(N280,O280)*P279,P279)</f>
        <v>1.72801332733687</v>
      </c>
    </row>
    <row r="281" customFormat="false" ht="12.75" hidden="false" customHeight="false" outlineLevel="0" collapsed="false">
      <c r="A281" s="1254" t="n">
        <f aca="false">EDATE(A280,1)</f>
        <v>43374</v>
      </c>
      <c r="B281" s="1245" t="n">
        <f aca="false">'[3]Monthly Curve Calc.'!B284</f>
        <v>693.293561473441</v>
      </c>
      <c r="C281" s="1246" t="n">
        <f aca="false">'[3]Monthly Curve Calc.'!C284</f>
        <v>280.574581804471</v>
      </c>
      <c r="D281" s="1246" t="n">
        <f aca="false">'[3]Monthly Curve Calc.'!D284</f>
        <v>204.531028530384</v>
      </c>
      <c r="E281" s="1246" t="n">
        <f aca="false">'[3]Monthly Curve Calc.'!E284</f>
        <v>25.0800000000001</v>
      </c>
      <c r="F281" s="1247" t="n">
        <f aca="false">'[3]Monthly Curve Calc.'!F284</f>
        <v>3.09850910131647</v>
      </c>
      <c r="G281" s="1255" t="n">
        <f aca="false">IF(AND($A281&gt;G$16,MONTH($A281)=MONTH(G$16)),B280/B268,G280)</f>
        <v>1.068</v>
      </c>
      <c r="H281" s="1253" t="n">
        <f aca="false">IF(AND($A281&gt;H$16,MONTH($A281)=MONTH(H$16)),C280/C268,H280)</f>
        <v>1.02702250620139</v>
      </c>
      <c r="I281" s="1253" t="n">
        <f aca="false">IF(AND($A281&gt;I$16,MONTH($A281)=MONTH(I$16)),C280/C268-I$18,I280)</f>
        <v>1.02452250620139</v>
      </c>
      <c r="J281" s="1253" t="n">
        <f aca="false">IF(AND($A281&gt;J$16,MONTH($A281)=MONTH(J$16)),D280/D268,J280)</f>
        <v>1.01732498535784</v>
      </c>
      <c r="K281" s="1253" t="n">
        <f aca="false">IF($A281&gt;=K$16,IF(MONTH($A281)=MONTH(K$16),AVERAGE(E269:E280),K280),K280)</f>
        <v>25.0780902777779</v>
      </c>
      <c r="L281" s="1256" t="n">
        <f aca="false">IF($A281&gt;=L$16,IF(MONTH($A281)=MONTH(L$16),AVERAGE(F269:F280),L280),L280)</f>
        <v>3.02038925952867</v>
      </c>
      <c r="M281" s="1215" t="n">
        <f aca="false">M280+1</f>
        <v>269</v>
      </c>
      <c r="N281" s="1252" t="n">
        <f aca="false">HLOOKUP(N$14,Dec_Change,$M281)</f>
        <v>1.02702250620139</v>
      </c>
      <c r="O281" s="1253" t="n">
        <f aca="false">O280</f>
        <v>1.005</v>
      </c>
      <c r="P281" s="1256" t="n">
        <f aca="false">IF(AND($A281&gt;=P$16,MONTH($A281)=MONTH(P$16)),MAX(N281,O281)*P280,P280)</f>
        <v>1.72801332733687</v>
      </c>
    </row>
    <row r="282" customFormat="false" ht="12.75" hidden="false" customHeight="false" outlineLevel="0" collapsed="false">
      <c r="A282" s="1254" t="n">
        <f aca="false">EDATE(A281,1)</f>
        <v>43405</v>
      </c>
      <c r="B282" s="1245" t="n">
        <f aca="false">'[3]Monthly Curve Calc.'!B285</f>
        <v>697.10485067681</v>
      </c>
      <c r="C282" s="1246" t="n">
        <f aca="false">'[3]Monthly Curve Calc.'!C285</f>
        <v>281.203968306534</v>
      </c>
      <c r="D282" s="1246" t="n">
        <f aca="false">'[3]Monthly Curve Calc.'!D285</f>
        <v>204.836789304172</v>
      </c>
      <c r="E282" s="1246" t="n">
        <f aca="false">'[3]Monthly Curve Calc.'!E285</f>
        <v>25.0800000000001</v>
      </c>
      <c r="F282" s="1247" t="n">
        <f aca="false">'[3]Monthly Curve Calc.'!F285</f>
        <v>3.10362419202893</v>
      </c>
      <c r="G282" s="1255" t="n">
        <f aca="false">IF(AND($A282&gt;G$16,MONTH($A282)=MONTH(G$16)),B281/B269,G281)</f>
        <v>1.068</v>
      </c>
      <c r="H282" s="1253" t="n">
        <f aca="false">IF(AND($A282&gt;H$16,MONTH($A282)=MONTH(H$16)),C281/C269,H281)</f>
        <v>1.02702250620139</v>
      </c>
      <c r="I282" s="1253" t="n">
        <f aca="false">IF(AND($A282&gt;I$16,MONTH($A282)=MONTH(I$16)),C281/C269-I$18,I281)</f>
        <v>1.02452250620139</v>
      </c>
      <c r="J282" s="1253" t="n">
        <f aca="false">IF(AND($A282&gt;J$16,MONTH($A282)=MONTH(J$16)),D281/D269,J281)</f>
        <v>1.01732498535784</v>
      </c>
      <c r="K282" s="1253" t="n">
        <f aca="false">IF($A282&gt;=K$16,IF(MONTH($A282)=MONTH(K$16),AVERAGE(E270:E281),K281),K281)</f>
        <v>25.0780902777779</v>
      </c>
      <c r="L282" s="1256" t="n">
        <f aca="false">IF($A282&gt;=L$16,IF(MONTH($A282)=MONTH(L$16),AVERAGE(F270:F281),L281),L281)</f>
        <v>3.02038925952867</v>
      </c>
      <c r="M282" s="1215" t="n">
        <f aca="false">M281+1</f>
        <v>270</v>
      </c>
      <c r="N282" s="1252" t="n">
        <f aca="false">HLOOKUP(N$14,Dec_Change,$M282)</f>
        <v>1.02702250620139</v>
      </c>
      <c r="O282" s="1253" t="n">
        <f aca="false">O281</f>
        <v>1.005</v>
      </c>
      <c r="P282" s="1256" t="n">
        <f aca="false">IF(AND($A282&gt;=P$16,MONTH($A282)=MONTH(P$16)),MAX(N282,O282)*P281,P281)</f>
        <v>1.72801332733687</v>
      </c>
    </row>
    <row r="283" customFormat="false" ht="12.75" hidden="false" customHeight="false" outlineLevel="0" collapsed="false">
      <c r="A283" s="1254" t="n">
        <f aca="false">EDATE(A282,1)</f>
        <v>43435</v>
      </c>
      <c r="B283" s="1245" t="n">
        <f aca="false">'[3]Monthly Curve Calc.'!B286</f>
        <v>700.937091935988</v>
      </c>
      <c r="C283" s="1246" t="n">
        <f aca="false">'[3]Monthly Curve Calc.'!C286</f>
        <v>281.834766651987</v>
      </c>
      <c r="D283" s="1246" t="n">
        <f aca="false">'[3]Monthly Curve Calc.'!D286</f>
        <v>205.143007170713</v>
      </c>
      <c r="E283" s="1246" t="n">
        <f aca="false">'[3]Monthly Curve Calc.'!E286</f>
        <v>25.0800000000001</v>
      </c>
      <c r="F283" s="1247" t="n">
        <f aca="false">'[3]Monthly Curve Calc.'!F286</f>
        <v>3.10874772685181</v>
      </c>
      <c r="G283" s="1255" t="n">
        <f aca="false">IF(AND($A283&gt;G$16,MONTH($A283)=MONTH(G$16)),B282/B270,G282)</f>
        <v>1.068</v>
      </c>
      <c r="H283" s="1253" t="n">
        <f aca="false">IF(AND($A283&gt;H$16,MONTH($A283)=MONTH(H$16)),C282/C270,H282)</f>
        <v>1.02702250620139</v>
      </c>
      <c r="I283" s="1253" t="n">
        <f aca="false">IF(AND($A283&gt;I$16,MONTH($A283)=MONTH(I$16)),C282/C270-I$18,I282)</f>
        <v>1.02452250620139</v>
      </c>
      <c r="J283" s="1253" t="n">
        <f aca="false">IF(AND($A283&gt;J$16,MONTH($A283)=MONTH(J$16)),D282/D270,J282)</f>
        <v>1.01732498535784</v>
      </c>
      <c r="K283" s="1253" t="n">
        <f aca="false">IF($A283&gt;=K$16,IF(MONTH($A283)=MONTH(K$16),AVERAGE(E271:E282),K282),K282)</f>
        <v>25.0780902777779</v>
      </c>
      <c r="L283" s="1256" t="n">
        <f aca="false">IF($A283&gt;=L$16,IF(MONTH($A283)=MONTH(L$16),AVERAGE(F271:F282),L282),L282)</f>
        <v>3.02038925952867</v>
      </c>
      <c r="M283" s="1215" t="n">
        <f aca="false">M282+1</f>
        <v>271</v>
      </c>
      <c r="N283" s="1252" t="n">
        <f aca="false">HLOOKUP(N$14,Dec_Change,$M283)</f>
        <v>1.02702250620139</v>
      </c>
      <c r="O283" s="1253" t="n">
        <f aca="false">O282</f>
        <v>1.005</v>
      </c>
      <c r="P283" s="1256" t="n">
        <f aca="false">IF(AND($A283&gt;=P$16,MONTH($A283)=MONTH(P$16)),MAX(N283,O283)*P282,P282)</f>
        <v>1.72801332733687</v>
      </c>
    </row>
    <row r="284" customFormat="false" ht="12.75" hidden="false" customHeight="false" outlineLevel="0" collapsed="false">
      <c r="A284" s="1254" t="n">
        <f aca="false">EDATE(A283,1)</f>
        <v>43466</v>
      </c>
      <c r="B284" s="1245" t="n">
        <f aca="false">'[3]Monthly Curve Calc.'!B287</f>
        <v>704.790400432116</v>
      </c>
      <c r="C284" s="1246" t="n">
        <f aca="false">'[3]Monthly Curve Calc.'!C287</f>
        <v>282.480056369098</v>
      </c>
      <c r="D284" s="1246" t="n">
        <f aca="false">'[3]Monthly Curve Calc.'!D287</f>
        <v>205.464811657908</v>
      </c>
      <c r="E284" s="1246" t="n">
        <f aca="false">'[3]Monthly Curve Calc.'!E287</f>
        <v>25.0800000000001</v>
      </c>
      <c r="F284" s="1247" t="n">
        <f aca="false">'[3]Monthly Curve Calc.'!F287</f>
        <v>3.11389218833154</v>
      </c>
      <c r="G284" s="1255" t="n">
        <f aca="false">IF(AND($A284&gt;G$16,MONTH($A284)=MONTH(G$16)),B283/B271,G283)</f>
        <v>1.068</v>
      </c>
      <c r="H284" s="1253" t="n">
        <f aca="false">IF(AND($A284&gt;H$16,MONTH($A284)=MONTH(H$16)),C283/C271,H283)</f>
        <v>1.02702250620139</v>
      </c>
      <c r="I284" s="1253" t="n">
        <f aca="false">IF(AND($A284&gt;I$16,MONTH($A284)=MONTH(I$16)),C283/C271-I$18,I283)</f>
        <v>1.02452250620139</v>
      </c>
      <c r="J284" s="1253" t="n">
        <f aca="false">IF(AND($A284&gt;J$16,MONTH($A284)=MONTH(J$16)),D283/D271,J283)</f>
        <v>1.01808746707982</v>
      </c>
      <c r="K284" s="1253" t="n">
        <f aca="false">IF($A284&gt;=K$16,IF(MONTH($A284)=MONTH(K$16),AVERAGE(E272:E283),K283),K283)</f>
        <v>25.0800000000001</v>
      </c>
      <c r="L284" s="1256" t="n">
        <f aca="false">IF($A284&gt;=L$16,IF(MONTH($A284)=MONTH(L$16),AVERAGE(F272:F283),L283),L283)</f>
        <v>3.08072252146163</v>
      </c>
      <c r="M284" s="1215" t="n">
        <f aca="false">M283+1</f>
        <v>272</v>
      </c>
      <c r="N284" s="1252" t="n">
        <f aca="false">HLOOKUP(N$14,Dec_Change,$M284)</f>
        <v>1.02702250620139</v>
      </c>
      <c r="O284" s="1253" t="n">
        <f aca="false">O283</f>
        <v>1.005</v>
      </c>
      <c r="P284" s="1256" t="n">
        <f aca="false">IF(AND($A284&gt;=P$16,MONTH($A284)=MONTH(P$16)),MAX(N284,O284)*P283,P283)</f>
        <v>1.72801332733687</v>
      </c>
    </row>
    <row r="285" customFormat="false" ht="12.75" hidden="false" customHeight="false" outlineLevel="0" collapsed="false">
      <c r="A285" s="1254" t="n">
        <f aca="false">EDATE(A284,1)</f>
        <v>43497</v>
      </c>
      <c r="B285" s="1245" t="n">
        <f aca="false">'[3]Monthly Curve Calc.'!B288</f>
        <v>708.66489197953</v>
      </c>
      <c r="C285" s="1246" t="n">
        <f aca="false">'[3]Monthly Curve Calc.'!C288</f>
        <v>283.126823543458</v>
      </c>
      <c r="D285" s="1246" t="n">
        <f aca="false">'[3]Monthly Curve Calc.'!D288</f>
        <v>205.78712095455</v>
      </c>
      <c r="E285" s="1246" t="n">
        <f aca="false">'[3]Monthly Curve Calc.'!E288</f>
        <v>25.0800000000001</v>
      </c>
      <c r="F285" s="1247" t="n">
        <f aca="false">'[3]Monthly Curve Calc.'!F288</f>
        <v>3.11904516304111</v>
      </c>
      <c r="G285" s="1255" t="n">
        <f aca="false">IF(AND($A285&gt;G$16,MONTH($A285)=MONTH(G$16)),B284/B272,G284)</f>
        <v>1.068</v>
      </c>
      <c r="H285" s="1253" t="n">
        <f aca="false">IF(AND($A285&gt;H$16,MONTH($A285)=MONTH(H$16)),C284/C272,H284)</f>
        <v>1.02702250620139</v>
      </c>
      <c r="I285" s="1253" t="n">
        <f aca="false">IF(AND($A285&gt;I$16,MONTH($A285)=MONTH(I$16)),C284/C272-I$18,I284)</f>
        <v>1.02452250620139</v>
      </c>
      <c r="J285" s="1253" t="n">
        <f aca="false">IF(AND($A285&gt;J$16,MONTH($A285)=MONTH(J$16)),D284/D272,J284)</f>
        <v>1.01808746707982</v>
      </c>
      <c r="K285" s="1253" t="n">
        <f aca="false">IF($A285&gt;=K$16,IF(MONTH($A285)=MONTH(K$16),AVERAGE(E273:E284),K284),K284)</f>
        <v>25.0800000000001</v>
      </c>
      <c r="L285" s="1256" t="n">
        <f aca="false">IF($A285&gt;=L$16,IF(MONTH($A285)=MONTH(L$16),AVERAGE(F273:F284),L284),L284)</f>
        <v>3.08072252146163</v>
      </c>
      <c r="M285" s="1215" t="n">
        <f aca="false">M284+1</f>
        <v>273</v>
      </c>
      <c r="N285" s="1252" t="n">
        <f aca="false">HLOOKUP(N$14,Dec_Change,$M285)</f>
        <v>1.02702250620139</v>
      </c>
      <c r="O285" s="1253" t="n">
        <f aca="false">O284</f>
        <v>1.005</v>
      </c>
      <c r="P285" s="1256" t="n">
        <f aca="false">IF(AND($A285&gt;=P$16,MONTH($A285)=MONTH(P$16)),MAX(N285,O285)*P284,P284)</f>
        <v>1.72801332733687</v>
      </c>
    </row>
    <row r="286" customFormat="false" ht="12.75" hidden="false" customHeight="false" outlineLevel="0" collapsed="false">
      <c r="A286" s="1254" t="n">
        <f aca="false">EDATE(A285,1)</f>
        <v>43525</v>
      </c>
      <c r="B286" s="1245" t="n">
        <f aca="false">'[3]Monthly Curve Calc.'!B289</f>
        <v>712.560683029238</v>
      </c>
      <c r="C286" s="1246" t="n">
        <f aca="false">'[3]Monthly Curve Calc.'!C289</f>
        <v>283.775071557857</v>
      </c>
      <c r="D286" s="1246" t="n">
        <f aca="false">'[3]Monthly Curve Calc.'!D289</f>
        <v>206.109935852525</v>
      </c>
      <c r="E286" s="1246" t="n">
        <f aca="false">'[3]Monthly Curve Calc.'!E289</f>
        <v>25.0800000000001</v>
      </c>
      <c r="F286" s="1247" t="n">
        <f aca="false">'[3]Monthly Curve Calc.'!F289</f>
        <v>3.12420666506851</v>
      </c>
      <c r="G286" s="1255" t="n">
        <f aca="false">IF(AND($A286&gt;G$16,MONTH($A286)=MONTH(G$16)),B285/B273,G285)</f>
        <v>1.068</v>
      </c>
      <c r="H286" s="1253" t="n">
        <f aca="false">IF(AND($A286&gt;H$16,MONTH($A286)=MONTH(H$16)),C285/C273,H285)</f>
        <v>1.02702250620139</v>
      </c>
      <c r="I286" s="1253" t="n">
        <f aca="false">IF(AND($A286&gt;I$16,MONTH($A286)=MONTH(I$16)),C285/C273-I$18,I285)</f>
        <v>1.02452250620139</v>
      </c>
      <c r="J286" s="1253" t="n">
        <f aca="false">IF(AND($A286&gt;J$16,MONTH($A286)=MONTH(J$16)),D285/D273,J285)</f>
        <v>1.01808746707982</v>
      </c>
      <c r="K286" s="1253" t="n">
        <f aca="false">IF($A286&gt;=K$16,IF(MONTH($A286)=MONTH(K$16),AVERAGE(E274:E285),K285),K285)</f>
        <v>25.0800000000001</v>
      </c>
      <c r="L286" s="1256" t="n">
        <f aca="false">IF($A286&gt;=L$16,IF(MONTH($A286)=MONTH(L$16),AVERAGE(F274:F285),L285),L285)</f>
        <v>3.08072252146163</v>
      </c>
      <c r="M286" s="1215" t="n">
        <f aca="false">M285+1</f>
        <v>274</v>
      </c>
      <c r="N286" s="1252" t="n">
        <f aca="false">HLOOKUP(N$14,Dec_Change,$M286)</f>
        <v>1.02702250620139</v>
      </c>
      <c r="O286" s="1253" t="n">
        <f aca="false">O285</f>
        <v>1.005</v>
      </c>
      <c r="P286" s="1256" t="n">
        <f aca="false">IF(AND($A286&gt;=P$16,MONTH($A286)=MONTH(P$16)),MAX(N286,O286)*P285,P285)</f>
        <v>1.72801332733687</v>
      </c>
    </row>
    <row r="287" customFormat="false" ht="12.75" hidden="false" customHeight="false" outlineLevel="0" collapsed="false">
      <c r="A287" s="1254" t="n">
        <f aca="false">EDATE(A286,1)</f>
        <v>43556</v>
      </c>
      <c r="B287" s="1245" t="n">
        <f aca="false">'[3]Monthly Curve Calc.'!B290</f>
        <v>716.477890672423</v>
      </c>
      <c r="C287" s="1246" t="n">
        <f aca="false">'[3]Monthly Curve Calc.'!C290</f>
        <v>284.424803802831</v>
      </c>
      <c r="D287" s="1246" t="n">
        <f aca="false">'[3]Monthly Curve Calc.'!D290</f>
        <v>206.433257144962</v>
      </c>
      <c r="E287" s="1246" t="n">
        <f aca="false">'[3]Monthly Curve Calc.'!E290</f>
        <v>25.0800000000001</v>
      </c>
      <c r="F287" s="1247" t="n">
        <f aca="false">'[3]Monthly Curve Calc.'!F290</f>
        <v>3.12937670852503</v>
      </c>
      <c r="G287" s="1255" t="n">
        <f aca="false">IF(AND($A287&gt;G$16,MONTH($A287)=MONTH(G$16)),B286/B274,G286)</f>
        <v>1.068</v>
      </c>
      <c r="H287" s="1253" t="n">
        <f aca="false">IF(AND($A287&gt;H$16,MONTH($A287)=MONTH(H$16)),C286/C274,H286)</f>
        <v>1.02702250620139</v>
      </c>
      <c r="I287" s="1253" t="n">
        <f aca="false">IF(AND($A287&gt;I$16,MONTH($A287)=MONTH(I$16)),C286/C274-I$18,I286)</f>
        <v>1.02452250620139</v>
      </c>
      <c r="J287" s="1253" t="n">
        <f aca="false">IF(AND($A287&gt;J$16,MONTH($A287)=MONTH(J$16)),D286/D274,J286)</f>
        <v>1.01808746707982</v>
      </c>
      <c r="K287" s="1253" t="n">
        <f aca="false">IF($A287&gt;=K$16,IF(MONTH($A287)=MONTH(K$16),AVERAGE(E275:E286),K286),K286)</f>
        <v>25.0800000000001</v>
      </c>
      <c r="L287" s="1256" t="n">
        <f aca="false">IF($A287&gt;=L$16,IF(MONTH($A287)=MONTH(L$16),AVERAGE(F275:F286),L286),L286)</f>
        <v>3.08072252146163</v>
      </c>
      <c r="M287" s="1215" t="n">
        <f aca="false">M286+1</f>
        <v>275</v>
      </c>
      <c r="N287" s="1252" t="n">
        <f aca="false">HLOOKUP(N$14,Dec_Change,$M287)</f>
        <v>1.02702250620139</v>
      </c>
      <c r="O287" s="1253" t="n">
        <f aca="false">O286</f>
        <v>1.005</v>
      </c>
      <c r="P287" s="1256" t="n">
        <f aca="false">IF(AND($A287&gt;=P$16,MONTH($A287)=MONTH(P$16)),MAX(N287,O287)*P286,P286)</f>
        <v>1.72801332733687</v>
      </c>
    </row>
    <row r="288" customFormat="false" ht="12.75" hidden="false" customHeight="false" outlineLevel="0" collapsed="false">
      <c r="A288" s="1254" t="n">
        <f aca="false">EDATE(A287,1)</f>
        <v>43586</v>
      </c>
      <c r="B288" s="1245" t="n">
        <f aca="false">'[3]Monthly Curve Calc.'!B291</f>
        <v>720.416632643961</v>
      </c>
      <c r="C288" s="1246" t="n">
        <f aca="false">'[3]Monthly Curve Calc.'!C291</f>
        <v>285.076023676679</v>
      </c>
      <c r="D288" s="1246" t="n">
        <f aca="false">'[3]Monthly Curve Calc.'!D291</f>
        <v>206.757085626233</v>
      </c>
      <c r="E288" s="1246" t="n">
        <f aca="false">'[3]Monthly Curve Calc.'!E291</f>
        <v>25.0800000000001</v>
      </c>
      <c r="F288" s="1247" t="n">
        <f aca="false">'[3]Monthly Curve Calc.'!F291</f>
        <v>3.13455530754531</v>
      </c>
      <c r="G288" s="1255" t="n">
        <f aca="false">IF(AND($A288&gt;G$16,MONTH($A288)=MONTH(G$16)),B287/B275,G287)</f>
        <v>1.068</v>
      </c>
      <c r="H288" s="1253" t="n">
        <f aca="false">IF(AND($A288&gt;H$16,MONTH($A288)=MONTH(H$16)),C287/C275,H287)</f>
        <v>1.02744330788382</v>
      </c>
      <c r="I288" s="1253" t="n">
        <f aca="false">IF(AND($A288&gt;I$16,MONTH($A288)=MONTH(I$16)),C287/C275-I$18,I287)</f>
        <v>1.02494330788382</v>
      </c>
      <c r="J288" s="1253" t="n">
        <f aca="false">IF(AND($A288&gt;J$16,MONTH($A288)=MONTH(J$16)),D287/D275,J287)</f>
        <v>1.01808746707982</v>
      </c>
      <c r="K288" s="1253" t="n">
        <f aca="false">IF($A288&gt;=K$16,IF(MONTH($A288)=MONTH(K$16),AVERAGE(E276:E287),K287),K287)</f>
        <v>25.0800000000001</v>
      </c>
      <c r="L288" s="1256" t="n">
        <f aca="false">IF($A288&gt;=L$16,IF(MONTH($A288)=MONTH(L$16),AVERAGE(F276:F287),L287),L287)</f>
        <v>3.08072252146163</v>
      </c>
      <c r="M288" s="1215" t="n">
        <f aca="false">M287+1</f>
        <v>276</v>
      </c>
      <c r="N288" s="1252" t="n">
        <f aca="false">HLOOKUP(N$14,Dec_Change,$M288)</f>
        <v>1.02744330788382</v>
      </c>
      <c r="O288" s="1253" t="n">
        <f aca="false">O287</f>
        <v>1.005</v>
      </c>
      <c r="P288" s="1256" t="n">
        <f aca="false">IF(AND($A288&gt;=P$16,MONTH($A288)=MONTH(P$16)),MAX(N288,O288)*P287,P287)</f>
        <v>1.77543572910631</v>
      </c>
    </row>
    <row r="289" customFormat="false" ht="13.5" hidden="false" customHeight="false" outlineLevel="0" collapsed="false">
      <c r="A289" s="1257"/>
      <c r="B289" s="1258"/>
      <c r="C289" s="1259"/>
      <c r="D289" s="1259"/>
      <c r="E289" s="1259"/>
      <c r="F289" s="1259"/>
      <c r="G289" s="1258"/>
      <c r="H289" s="1259"/>
      <c r="I289" s="1259"/>
      <c r="J289" s="1259"/>
      <c r="K289" s="1259"/>
      <c r="L289" s="1260"/>
      <c r="N289" s="1261"/>
      <c r="O289" s="1259"/>
      <c r="P289" s="1260"/>
    </row>
    <row r="291" customFormat="false" ht="12.75" hidden="false" customHeight="false" outlineLevel="0" collapsed="false">
      <c r="A291" s="1262" t="n">
        <v>1</v>
      </c>
      <c r="B291" s="1262" t="n">
        <f aca="false">A291+1</f>
        <v>2</v>
      </c>
      <c r="C291" s="1262" t="n">
        <f aca="false">B291+1</f>
        <v>3</v>
      </c>
      <c r="D291" s="1262" t="n">
        <f aca="false">C291+1</f>
        <v>4</v>
      </c>
      <c r="E291" s="1262" t="n">
        <f aca="false">D291+1</f>
        <v>5</v>
      </c>
      <c r="F291" s="1262" t="n">
        <f aca="false">E291+1</f>
        <v>6</v>
      </c>
      <c r="G291" s="1262" t="n">
        <f aca="false">F291+1</f>
        <v>7</v>
      </c>
      <c r="H291" s="1262" t="n">
        <f aca="false">G291+1</f>
        <v>8</v>
      </c>
      <c r="I291" s="1262" t="n">
        <f aca="false">H291+1</f>
        <v>9</v>
      </c>
      <c r="J291" s="1262" t="n">
        <f aca="false">I291+1</f>
        <v>10</v>
      </c>
      <c r="K291" s="1263" t="n">
        <f aca="false">J291+1</f>
        <v>11</v>
      </c>
      <c r="L291" s="1263" t="n">
        <f aca="false">K291+1</f>
        <v>12</v>
      </c>
      <c r="M291" s="1263" t="n">
        <f aca="false">L291+1</f>
        <v>13</v>
      </c>
      <c r="N291" s="1263" t="n">
        <f aca="false">M291+1</f>
        <v>14</v>
      </c>
      <c r="O291" s="1263" t="n">
        <f aca="false">N291+1</f>
        <v>15</v>
      </c>
      <c r="P291" s="1263" t="n">
        <f aca="false">O291+1</f>
        <v>16</v>
      </c>
      <c r="Q291" s="1202" t="s">
        <v>1138</v>
      </c>
    </row>
  </sheetData>
  <mergeCells count="2">
    <mergeCell ref="N12:P12"/>
    <mergeCell ref="G14:L14"/>
  </mergeCells>
  <printOptions headings="false" gridLines="false" gridLinesSet="true" horizontalCentered="true" verticalCentered="false"/>
  <pageMargins left="0.25" right="0.25" top="0.5" bottom="0.5" header="0.511811023622047" footer="0.511811023622047"/>
  <pageSetup paperSize="1" scale="100" fitToWidth="1" fitToHeight="4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9"/>
  <sheetViews>
    <sheetView showFormulas="false" showGridLines="false" showRowColHeaders="true" showZeros="true" rightToLeft="false" tabSelected="false" showOutlineSymbols="true" defaultGridColor="true" view="normal" topLeftCell="A6" colorId="64" zoomScale="80" zoomScaleNormal="80" zoomScalePageLayoutView="100" workbookViewId="0">
      <pane xSplit="0" ySplit="2" topLeftCell="BM39" activePane="bottomLeft" state="frozen"/>
      <selection pane="topLeft" activeCell="A6" activeCellId="0" sqref="A6"/>
      <selection pane="bottomLeft" activeCell="A6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.7"/>
    <col collapsed="false" customWidth="true" hidden="false" outlineLevel="0" max="2" min="2" style="39" width="42.7"/>
    <col collapsed="false" customWidth="true" hidden="false" outlineLevel="0" max="3" min="3" style="1" width="14.7"/>
    <col collapsed="false" customWidth="true" hidden="false" outlineLevel="0" max="4" min="4" style="1" width="25.7"/>
    <col collapsed="false" customWidth="true" hidden="false" outlineLevel="0" max="25" min="5" style="1" width="11.7"/>
    <col collapsed="false" customWidth="true" hidden="false" outlineLevel="0" max="26" min="26" style="39" width="12.7"/>
    <col collapsed="false" customWidth="false" hidden="false" outlineLevel="0" max="257" min="27" style="1" width="9.14"/>
  </cols>
  <sheetData>
    <row r="1" customFormat="false" ht="15.75" hidden="false" customHeight="false" outlineLevel="0" collapsed="false">
      <c r="A1" s="14" t="str">
        <f aca="false">Assm!A1</f>
        <v>GASOCIDENTE DO MATO GROSSO LTDA (GASMAT) *** DRAFT COPY ***</v>
      </c>
      <c r="B1" s="283"/>
      <c r="C1" s="15"/>
      <c r="D1" s="39"/>
      <c r="H1" s="284"/>
      <c r="K1" s="23"/>
      <c r="S1" s="17"/>
    </row>
    <row r="2" customFormat="false" ht="15.75" hidden="false" customHeight="false" outlineLevel="0" collapsed="false">
      <c r="A2" s="14" t="str">
        <f aca="false">Assm!A2</f>
        <v>257 KM PIPELINE SPUR FOR CUIABA POWER PLANT (BRAZIL)</v>
      </c>
      <c r="B2" s="283"/>
      <c r="C2" s="15"/>
      <c r="D2" s="39"/>
      <c r="H2" s="284"/>
      <c r="K2" s="23"/>
      <c r="S2" s="17"/>
    </row>
    <row r="3" customFormat="false" ht="15.75" hidden="false" customHeight="false" outlineLevel="0" collapsed="false">
      <c r="A3" s="18" t="str">
        <f aca="false">Assm!A3</f>
        <v>ENRON INTERNATIONAL</v>
      </c>
      <c r="B3" s="18"/>
      <c r="C3" s="15"/>
      <c r="D3" s="39"/>
      <c r="F3" s="19"/>
      <c r="H3" s="284"/>
      <c r="K3" s="23"/>
      <c r="T3" s="20"/>
      <c r="U3" s="20"/>
      <c r="V3" s="20"/>
      <c r="W3" s="20"/>
      <c r="X3" s="20"/>
      <c r="Y3" s="20"/>
    </row>
    <row r="4" customFormat="false" ht="15.75" hidden="false" customHeight="false" outlineLevel="0" collapsed="false">
      <c r="A4" s="21" t="s">
        <v>318</v>
      </c>
      <c r="B4" s="21"/>
      <c r="C4" s="15"/>
      <c r="D4" s="39"/>
      <c r="F4" s="19"/>
      <c r="H4" s="284"/>
      <c r="K4" s="23"/>
    </row>
    <row r="5" customFormat="false" ht="13.5" hidden="false" customHeight="false" outlineLevel="0" collapsed="false">
      <c r="AB5" s="3" t="s">
        <v>319</v>
      </c>
    </row>
    <row r="6" customFormat="false" ht="12.75" hidden="false" customHeight="false" outlineLevel="0" collapsed="false">
      <c r="A6" s="285" t="s">
        <v>320</v>
      </c>
      <c r="B6" s="26"/>
      <c r="C6" s="26"/>
      <c r="D6" s="26"/>
      <c r="E6" s="286" t="n">
        <v>1</v>
      </c>
      <c r="F6" s="26" t="n">
        <f aca="false">E6+1</f>
        <v>2</v>
      </c>
      <c r="G6" s="26" t="n">
        <f aca="false">F6+1</f>
        <v>3</v>
      </c>
      <c r="H6" s="26" t="n">
        <f aca="false">G6+1</f>
        <v>4</v>
      </c>
      <c r="I6" s="26" t="n">
        <f aca="false">H6+1</f>
        <v>5</v>
      </c>
      <c r="J6" s="26" t="n">
        <f aca="false">I6+1</f>
        <v>6</v>
      </c>
      <c r="K6" s="26" t="n">
        <f aca="false">J6+1</f>
        <v>7</v>
      </c>
      <c r="L6" s="26" t="n">
        <f aca="false">K6+1</f>
        <v>8</v>
      </c>
      <c r="M6" s="26" t="n">
        <f aca="false">L6+1</f>
        <v>9</v>
      </c>
      <c r="N6" s="26" t="n">
        <f aca="false">M6+1</f>
        <v>10</v>
      </c>
      <c r="O6" s="26" t="n">
        <f aca="false">N6+1</f>
        <v>11</v>
      </c>
      <c r="P6" s="26" t="n">
        <f aca="false">O6+1</f>
        <v>12</v>
      </c>
      <c r="Q6" s="26" t="n">
        <f aca="false">P6+1</f>
        <v>13</v>
      </c>
      <c r="R6" s="26" t="n">
        <f aca="false">Q6+1</f>
        <v>14</v>
      </c>
      <c r="S6" s="26" t="n">
        <f aca="false">R6+1</f>
        <v>15</v>
      </c>
      <c r="T6" s="26" t="n">
        <f aca="false">S6+1</f>
        <v>16</v>
      </c>
      <c r="U6" s="26" t="n">
        <f aca="false">T6+1</f>
        <v>17</v>
      </c>
      <c r="V6" s="26" t="n">
        <f aca="false">U6+1</f>
        <v>18</v>
      </c>
      <c r="W6" s="26" t="n">
        <f aca="false">V6+1</f>
        <v>19</v>
      </c>
      <c r="X6" s="26" t="n">
        <f aca="false">W6+1</f>
        <v>20</v>
      </c>
      <c r="Y6" s="26" t="n">
        <f aca="false">X6+1</f>
        <v>21</v>
      </c>
      <c r="Z6" s="287"/>
      <c r="AA6" s="39"/>
      <c r="AB6" s="288" t="s">
        <v>321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89" t="s">
        <v>322</v>
      </c>
      <c r="B7" s="290"/>
      <c r="C7" s="22"/>
      <c r="D7" s="22"/>
      <c r="E7" s="291" t="n">
        <v>1999</v>
      </c>
      <c r="F7" s="292" t="n">
        <f aca="false">E7+1</f>
        <v>2000</v>
      </c>
      <c r="G7" s="292" t="n">
        <f aca="false">F7+1</f>
        <v>2001</v>
      </c>
      <c r="H7" s="292" t="n">
        <f aca="false">G7+1</f>
        <v>2002</v>
      </c>
      <c r="I7" s="292" t="n">
        <f aca="false">H7+1</f>
        <v>2003</v>
      </c>
      <c r="J7" s="292" t="n">
        <f aca="false">I7+1</f>
        <v>2004</v>
      </c>
      <c r="K7" s="292" t="n">
        <f aca="false">J7+1</f>
        <v>2005</v>
      </c>
      <c r="L7" s="292" t="n">
        <f aca="false">K7+1</f>
        <v>2006</v>
      </c>
      <c r="M7" s="292" t="n">
        <f aca="false">L7+1</f>
        <v>2007</v>
      </c>
      <c r="N7" s="292" t="n">
        <f aca="false">M7+1</f>
        <v>2008</v>
      </c>
      <c r="O7" s="292" t="n">
        <f aca="false">N7+1</f>
        <v>2009</v>
      </c>
      <c r="P7" s="292" t="n">
        <f aca="false">O7+1</f>
        <v>2010</v>
      </c>
      <c r="Q7" s="292" t="n">
        <f aca="false">P7+1</f>
        <v>2011</v>
      </c>
      <c r="R7" s="292" t="n">
        <f aca="false">Q7+1</f>
        <v>2012</v>
      </c>
      <c r="S7" s="292" t="n">
        <f aca="false">R7+1</f>
        <v>2013</v>
      </c>
      <c r="T7" s="292" t="n">
        <f aca="false">S7+1</f>
        <v>2014</v>
      </c>
      <c r="U7" s="292" t="n">
        <f aca="false">T7+1</f>
        <v>2015</v>
      </c>
      <c r="V7" s="292" t="n">
        <f aca="false">U7+1</f>
        <v>2016</v>
      </c>
      <c r="W7" s="292" t="n">
        <f aca="false">V7+1</f>
        <v>2017</v>
      </c>
      <c r="X7" s="292" t="n">
        <f aca="false">W7+1</f>
        <v>2018</v>
      </c>
      <c r="Y7" s="292" t="n">
        <f aca="false">X7+1</f>
        <v>2019</v>
      </c>
      <c r="Z7" s="293" t="s">
        <v>323</v>
      </c>
      <c r="AA7" s="39"/>
      <c r="AB7" s="77" t="n">
        <v>1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94"/>
      <c r="B8" s="295"/>
      <c r="C8" s="39"/>
      <c r="D8" s="39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7"/>
      <c r="AA8" s="39"/>
      <c r="AB8" s="136" t="n">
        <f aca="false">AB7+1</f>
        <v>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324</v>
      </c>
      <c r="C9" s="39"/>
      <c r="D9" s="39"/>
      <c r="E9" s="39" t="n">
        <f aca="false">IF(OR(E$7&lt;YEAR(Startops1),E$7&gt;YEAR(Endyr)),0,IF(E$7=YEAR(Startops1),13-MONTH(Startops1),IF(E$7=YEAR(Endyr),MONTH(Endyr),12)))</f>
        <v>0</v>
      </c>
      <c r="F9" s="39" t="n">
        <f aca="false">IF(OR(F$7&lt;YEAR(Startops1),F$7&gt;YEAR(Endyr)),0,IF(F$7=YEAR(Startops1),13-MONTH(Startops1),IF(F$7=YEAR(Endyr),MONTH(Endyr),12)))</f>
        <v>0</v>
      </c>
      <c r="G9" s="39" t="n">
        <f aca="false">IF(OR(G$7&lt;YEAR(Startops1),G$7&gt;YEAR(Endyr)),0,IF(G$7=YEAR(Startops1),13-MONTH(Startops1),IF(G$7=YEAR(Endyr),MONTH(Endyr),12)))</f>
        <v>10</v>
      </c>
      <c r="H9" s="39" t="n">
        <f aca="false">IF(OR(H$7&lt;YEAR(Startops1),H$7&gt;YEAR(Endyr)),0,IF(H$7=YEAR(Startops1),13-MONTH(Startops1),IF(H$7=YEAR(Endyr),MONTH(Endyr),12)))</f>
        <v>12</v>
      </c>
      <c r="I9" s="39" t="n">
        <f aca="false">IF(OR(I$7&lt;YEAR(Startops1),I$7&gt;YEAR(Endyr)),0,IF(I$7=YEAR(Startops1),13-MONTH(Startops1),IF(I$7=YEAR(Endyr),MONTH(Endyr),12)))</f>
        <v>12</v>
      </c>
      <c r="J9" s="39" t="n">
        <f aca="false">IF(OR(J$7&lt;YEAR(Startops1),J$7&gt;YEAR(Endyr)),0,IF(J$7=YEAR(Startops1),13-MONTH(Startops1),IF(J$7=YEAR(Endyr),MONTH(Endyr),12)))</f>
        <v>12</v>
      </c>
      <c r="K9" s="39" t="n">
        <f aca="false">IF(OR(K$7&lt;YEAR(Startops1),K$7&gt;YEAR(Endyr)),0,IF(K$7=YEAR(Startops1),13-MONTH(Startops1),IF(K$7=YEAR(Endyr),MONTH(Endyr),12)))</f>
        <v>12</v>
      </c>
      <c r="L9" s="39" t="n">
        <f aca="false">IF(OR(L$7&lt;YEAR(Startops1),L$7&gt;YEAR(Endyr)),0,IF(L$7=YEAR(Startops1),13-MONTH(Startops1),IF(L$7=YEAR(Endyr),MONTH(Endyr),12)))</f>
        <v>12</v>
      </c>
      <c r="M9" s="39" t="n">
        <f aca="false">IF(OR(M$7&lt;YEAR(Startops1),M$7&gt;YEAR(Endyr)),0,IF(M$7=YEAR(Startops1),13-MONTH(Startops1),IF(M$7=YEAR(Endyr),MONTH(Endyr),12)))</f>
        <v>12</v>
      </c>
      <c r="N9" s="39" t="n">
        <f aca="false">IF(OR(N$7&lt;YEAR(Startops1),N$7&gt;YEAR(Endyr)),0,IF(N$7=YEAR(Startops1),13-MONTH(Startops1),IF(N$7=YEAR(Endyr),MONTH(Endyr),12)))</f>
        <v>12</v>
      </c>
      <c r="O9" s="39" t="n">
        <f aca="false">IF(OR(O$7&lt;YEAR(Startops1),O$7&gt;YEAR(Endyr)),0,IF(O$7=YEAR(Startops1),13-MONTH(Startops1),IF(O$7=YEAR(Endyr),MONTH(Endyr),12)))</f>
        <v>12</v>
      </c>
      <c r="P9" s="39" t="n">
        <f aca="false">IF(OR(P$7&lt;YEAR(Startops1),P$7&gt;YEAR(Endyr)),0,IF(P$7=YEAR(Startops1),13-MONTH(Startops1),IF(P$7=YEAR(Endyr),MONTH(Endyr),12)))</f>
        <v>12</v>
      </c>
      <c r="Q9" s="39" t="n">
        <f aca="false">IF(OR(Q$7&lt;YEAR(Startops1),Q$7&gt;YEAR(Endyr)),0,IF(Q$7=YEAR(Startops1),13-MONTH(Startops1),IF(Q$7=YEAR(Endyr),MONTH(Endyr),12)))</f>
        <v>12</v>
      </c>
      <c r="R9" s="39" t="n">
        <f aca="false">IF(OR(R$7&lt;YEAR(Startops1),R$7&gt;YEAR(Endyr)),0,IF(R$7=YEAR(Startops1),13-MONTH(Startops1),IF(R$7=YEAR(Endyr),MONTH(Endyr),12)))</f>
        <v>12</v>
      </c>
      <c r="S9" s="39" t="n">
        <f aca="false">IF(OR(S$7&lt;YEAR(Startops1),S$7&gt;YEAR(Endyr)),0,IF(S$7=YEAR(Startops1),13-MONTH(Startops1),IF(S$7=YEAR(Endyr),MONTH(Endyr),12)))</f>
        <v>12</v>
      </c>
      <c r="T9" s="39" t="n">
        <f aca="false">IF(OR(T$7&lt;YEAR(Startops1),T$7&gt;YEAR(Endyr)),0,IF(T$7=YEAR(Startops1),13-MONTH(Startops1),IF(T$7=YEAR(Endyr),MONTH(Endyr),12)))</f>
        <v>12</v>
      </c>
      <c r="U9" s="39" t="n">
        <f aca="false">IF(OR(U$7&lt;YEAR(Startops1),U$7&gt;YEAR(Endyr)),0,IF(U$7=YEAR(Startops1),13-MONTH(Startops1),IF(U$7=YEAR(Endyr),MONTH(Endyr),12)))</f>
        <v>12</v>
      </c>
      <c r="V9" s="39" t="n">
        <f aca="false">IF(OR(V$7&lt;YEAR(Startops1),V$7&gt;YEAR(Endyr)),0,IF(V$7=YEAR(Startops1),13-MONTH(Startops1),IF(V$7=YEAR(Endyr),MONTH(Endyr),12)))</f>
        <v>12</v>
      </c>
      <c r="W9" s="39" t="n">
        <f aca="false">IF(OR(W$7&lt;YEAR(Startops1),W$7&gt;YEAR(Endyr)),0,IF(W$7=YEAR(Startops1),13-MONTH(Startops1),IF(W$7=YEAR(Endyr),MONTH(Endyr),12)))</f>
        <v>12</v>
      </c>
      <c r="X9" s="39" t="n">
        <f aca="false">IF(OR(X$7&lt;YEAR(Startops1),X$7&gt;YEAR(Endyr)),0,IF(X$7=YEAR(Startops1),13-MONTH(Startops1),IF(X$7=YEAR(Endyr),MONTH(Endyr),12)))</f>
        <v>12</v>
      </c>
      <c r="Y9" s="39" t="n">
        <f aca="false">IF(OR(Y$7&lt;YEAR(Startops1),Y$7&gt;YEAR(Endyr)),0,IF(Y$7=YEAR(Startops1),13-MONTH(Startops1),IF(Y$7=YEAR(Endyr),MONTH(Endyr),12)))</f>
        <v>4</v>
      </c>
      <c r="Z9" s="298" t="n">
        <f aca="false">SUM(E9:Y9)</f>
        <v>218</v>
      </c>
      <c r="AA9" s="39"/>
      <c r="AB9" s="136" t="n">
        <f aca="false">AB8+1</f>
        <v>3</v>
      </c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298"/>
      <c r="AA10" s="39"/>
      <c r="AB10" s="136" t="n">
        <f aca="false">AB9+1</f>
        <v>4</v>
      </c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37" t="s">
        <v>325</v>
      </c>
      <c r="C11" s="299" t="str">
        <f aca="false">Assm!$F$29</f>
        <v>Greater Of CPI Or 1.005</v>
      </c>
      <c r="D11" s="39"/>
      <c r="E11" s="300" t="n">
        <f aca="false">VLOOKUP(DATE(E$7,12,1),Curves_Table,Escalation!$P$291)</f>
        <v>1.0374531835206</v>
      </c>
      <c r="F11" s="300" t="n">
        <f aca="false">VLOOKUP(DATE(F$7,12,1),Curves_Table,Escalation!$P$291)</f>
        <v>1.06207999503397</v>
      </c>
      <c r="G11" s="300" t="n">
        <f aca="false">VLOOKUP(DATE(G$7,12,1),Curves_Table,Escalation!$P$291)</f>
        <v>1.09718061747934</v>
      </c>
      <c r="H11" s="300" t="n">
        <f aca="false">VLOOKUP(DATE(H$7,12,1),Curves_Table,Escalation!$P$291)</f>
        <v>1.13219066683837</v>
      </c>
      <c r="I11" s="300" t="n">
        <f aca="false">VLOOKUP(DATE(I$7,12,1),Curves_Table,Escalation!$P$291)</f>
        <v>1.16628704592773</v>
      </c>
      <c r="J11" s="300" t="n">
        <f aca="false">VLOOKUP(DATE(J$7,12,1),Curves_Table,Escalation!$P$291)</f>
        <v>1.20034933429065</v>
      </c>
      <c r="K11" s="300" t="n">
        <f aca="false">VLOOKUP(DATE(K$7,12,1),Curves_Table,Escalation!$P$291)</f>
        <v>1.23462294375966</v>
      </c>
      <c r="L11" s="300" t="n">
        <f aca="false">VLOOKUP(DATE(L$7,12,1),Curves_Table,Escalation!$P$291)</f>
        <v>1.26919095628799</v>
      </c>
      <c r="M11" s="300" t="n">
        <f aca="false">VLOOKUP(DATE(M$7,12,1),Curves_Table,Escalation!$P$291)</f>
        <v>1.30389657610682</v>
      </c>
      <c r="N11" s="300" t="n">
        <f aca="false">VLOOKUP(DATE(N$7,12,1),Curves_Table,Escalation!$P$291)</f>
        <v>1.33877978058913</v>
      </c>
      <c r="O11" s="300" t="n">
        <f aca="false">VLOOKUP(DATE(O$7,12,1),Curves_Table,Escalation!$P$291)</f>
        <v>1.37395101449367</v>
      </c>
      <c r="P11" s="300" t="n">
        <f aca="false">VLOOKUP(DATE(P$7,12,1),Curves_Table,Escalation!$P$291)</f>
        <v>1.40945468809218</v>
      </c>
      <c r="Q11" s="300" t="n">
        <f aca="false">VLOOKUP(DATE(Q$7,12,1),Curves_Table,Escalation!$P$291)</f>
        <v>1.44536293026781</v>
      </c>
      <c r="R11" s="300" t="n">
        <f aca="false">VLOOKUP(DATE(R$7,12,1),Curves_Table,Escalation!$P$291)</f>
        <v>1.48180861051097</v>
      </c>
      <c r="S11" s="300" t="n">
        <f aca="false">VLOOKUP(DATE(S$7,12,1),Curves_Table,Escalation!$P$291)</f>
        <v>1.51901070889322</v>
      </c>
      <c r="T11" s="300" t="n">
        <f aca="false">VLOOKUP(DATE(T$7,12,1),Curves_Table,Escalation!$P$291)</f>
        <v>1.55739783154092</v>
      </c>
      <c r="U11" s="300" t="n">
        <f aca="false">VLOOKUP(DATE(U$7,12,1),Curves_Table,Escalation!$P$291)</f>
        <v>1.59733039824151</v>
      </c>
      <c r="V11" s="300" t="n">
        <f aca="false">VLOOKUP(DATE(V$7,12,1),Curves_Table,Escalation!$P$291)</f>
        <v>1.63898344452994</v>
      </c>
      <c r="W11" s="300" t="n">
        <f aca="false">VLOOKUP(DATE(W$7,12,1),Curves_Table,Escalation!$P$291)</f>
        <v>1.68254669873615</v>
      </c>
      <c r="X11" s="300" t="n">
        <f aca="false">VLOOKUP(DATE(X$7,12,1),Curves_Table,Escalation!$P$291)</f>
        <v>1.72801332733687</v>
      </c>
      <c r="Y11" s="300" t="n">
        <f aca="false">VLOOKUP(DATE(Y$7,12,1),Curves_Table,Escalation!$P$291)</f>
        <v>1.77543572910631</v>
      </c>
      <c r="Z11" s="301"/>
      <c r="AA11" s="39"/>
      <c r="AB11" s="136" t="n">
        <f aca="false">AB10+1</f>
        <v>5</v>
      </c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7" t="s">
        <v>326</v>
      </c>
      <c r="C12" s="299" t="str">
        <f aca="false">CPI</f>
        <v>CPI Annual</v>
      </c>
      <c r="D12" s="39"/>
      <c r="E12" s="300" t="n">
        <f aca="false">VLOOKUP(DATE(E$7,12,1),Curves_Table,Escalation!$P$291)</f>
        <v>1.0374531835206</v>
      </c>
      <c r="F12" s="300" t="n">
        <f aca="false">VLOOKUP(DATE(F$7,12,1),Curves_Table,Escalation!$P$291)</f>
        <v>1.06207999503397</v>
      </c>
      <c r="G12" s="300" t="n">
        <f aca="false">VLOOKUP(DATE(G$7,12,1),Curves_Table,Escalation!$P$291)</f>
        <v>1.09718061747934</v>
      </c>
      <c r="H12" s="300" t="n">
        <f aca="false">VLOOKUP(DATE(H$7,12,1),Curves_Table,Escalation!$P$291)</f>
        <v>1.13219066683837</v>
      </c>
      <c r="I12" s="300" t="n">
        <f aca="false">VLOOKUP(DATE(I$7,12,1),Curves_Table,Escalation!$P$291)</f>
        <v>1.16628704592773</v>
      </c>
      <c r="J12" s="300" t="n">
        <f aca="false">VLOOKUP(DATE(J$7,12,1),Curves_Table,Escalation!$P$291)</f>
        <v>1.20034933429065</v>
      </c>
      <c r="K12" s="300" t="n">
        <f aca="false">VLOOKUP(DATE(K$7,12,1),Curves_Table,Escalation!$P$291)</f>
        <v>1.23462294375966</v>
      </c>
      <c r="L12" s="300" t="n">
        <f aca="false">VLOOKUP(DATE(L$7,12,1),Curves_Table,Escalation!$P$291)</f>
        <v>1.26919095628799</v>
      </c>
      <c r="M12" s="300" t="n">
        <f aca="false">VLOOKUP(DATE(M$7,12,1),Curves_Table,Escalation!$P$291)</f>
        <v>1.30389657610682</v>
      </c>
      <c r="N12" s="300" t="n">
        <f aca="false">VLOOKUP(DATE(N$7,12,1),Curves_Table,Escalation!$P$291)</f>
        <v>1.33877978058913</v>
      </c>
      <c r="O12" s="300" t="n">
        <f aca="false">VLOOKUP(DATE(O$7,12,1),Curves_Table,Escalation!$P$291)</f>
        <v>1.37395101449367</v>
      </c>
      <c r="P12" s="300" t="n">
        <f aca="false">VLOOKUP(DATE(P$7,12,1),Curves_Table,Escalation!$P$291)</f>
        <v>1.40945468809218</v>
      </c>
      <c r="Q12" s="300" t="n">
        <f aca="false">VLOOKUP(DATE(Q$7,12,1),Curves_Table,Escalation!$P$291)</f>
        <v>1.44536293026781</v>
      </c>
      <c r="R12" s="300" t="n">
        <f aca="false">VLOOKUP(DATE(R$7,12,1),Curves_Table,Escalation!$P$291)</f>
        <v>1.48180861051097</v>
      </c>
      <c r="S12" s="300" t="n">
        <f aca="false">VLOOKUP(DATE(S$7,12,1),Curves_Table,Escalation!$P$291)</f>
        <v>1.51901070889322</v>
      </c>
      <c r="T12" s="300" t="n">
        <f aca="false">VLOOKUP(DATE(T$7,12,1),Curves_Table,Escalation!$P$291)</f>
        <v>1.55739783154092</v>
      </c>
      <c r="U12" s="300" t="n">
        <f aca="false">VLOOKUP(DATE(U$7,12,1),Curves_Table,Escalation!$P$291)</f>
        <v>1.59733039824151</v>
      </c>
      <c r="V12" s="300" t="n">
        <f aca="false">VLOOKUP(DATE(V$7,12,1),Curves_Table,Escalation!$P$291)</f>
        <v>1.63898344452994</v>
      </c>
      <c r="W12" s="300" t="n">
        <f aca="false">VLOOKUP(DATE(W$7,12,1),Curves_Table,Escalation!$P$291)</f>
        <v>1.68254669873615</v>
      </c>
      <c r="X12" s="300" t="n">
        <f aca="false">VLOOKUP(DATE(X$7,12,1),Curves_Table,Escalation!$P$291)</f>
        <v>1.72801332733687</v>
      </c>
      <c r="Y12" s="300" t="n">
        <f aca="false">VLOOKUP(DATE(Y$7,12,1),Curves_Table,Escalation!$P$291)</f>
        <v>1.77543572910631</v>
      </c>
      <c r="Z12" s="301"/>
      <c r="AA12" s="39"/>
      <c r="AB12" s="136" t="n">
        <f aca="false">AB11+1</f>
        <v>6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327</v>
      </c>
      <c r="C13" s="39"/>
      <c r="D13" s="39"/>
      <c r="E13" s="300" t="n">
        <f aca="false">IF(Assm!$L$58=0,Ex,VLOOKUP(DATE(E$7,12,1),Curves_Table,Escalation!$L$291))</f>
        <v>1.065</v>
      </c>
      <c r="F13" s="300" t="n">
        <f aca="false">IF(Assm!$L$58=0,Ex,VLOOKUP(DATE(F$7,12,1),Curves_Table,Escalation!$L$291))</f>
        <v>1.065</v>
      </c>
      <c r="G13" s="300" t="n">
        <f aca="false">IF(Assm!$L$58=0,Ex,VLOOKUP(DATE(G$7,12,1),Curves_Table,Escalation!$L$291))</f>
        <v>1.065</v>
      </c>
      <c r="H13" s="300" t="n">
        <f aca="false">IF(Assm!$L$58=0,Ex,VLOOKUP(DATE(H$7,12,1),Curves_Table,Escalation!$L$291))</f>
        <v>1.065</v>
      </c>
      <c r="I13" s="300" t="n">
        <f aca="false">IF(Assm!$L$58=0,Ex,VLOOKUP(DATE(I$7,12,1),Curves_Table,Escalation!$L$291))</f>
        <v>1.065</v>
      </c>
      <c r="J13" s="300" t="n">
        <f aca="false">IF(Assm!$L$58=0,Ex,VLOOKUP(DATE(J$7,12,1),Curves_Table,Escalation!$L$291))</f>
        <v>1.065</v>
      </c>
      <c r="K13" s="300" t="n">
        <f aca="false">IF(Assm!$L$58=0,Ex,VLOOKUP(DATE(K$7,12,1),Curves_Table,Escalation!$L$291))</f>
        <v>1.065</v>
      </c>
      <c r="L13" s="300" t="n">
        <f aca="false">IF(Assm!$L$58=0,Ex,VLOOKUP(DATE(L$7,12,1),Curves_Table,Escalation!$L$291))</f>
        <v>1.065</v>
      </c>
      <c r="M13" s="300" t="n">
        <f aca="false">IF(Assm!$L$58=0,Ex,VLOOKUP(DATE(M$7,12,1),Curves_Table,Escalation!$L$291))</f>
        <v>1.065</v>
      </c>
      <c r="N13" s="300" t="n">
        <f aca="false">IF(Assm!$L$58=0,Ex,VLOOKUP(DATE(N$7,12,1),Curves_Table,Escalation!$L$291))</f>
        <v>1.065</v>
      </c>
      <c r="O13" s="300" t="n">
        <f aca="false">IF(Assm!$L$58=0,Ex,VLOOKUP(DATE(O$7,12,1),Curves_Table,Escalation!$L$291))</f>
        <v>1.065</v>
      </c>
      <c r="P13" s="300" t="n">
        <f aca="false">IF(Assm!$L$58=0,Ex,VLOOKUP(DATE(P$7,12,1),Curves_Table,Escalation!$L$291))</f>
        <v>1.065</v>
      </c>
      <c r="Q13" s="300" t="n">
        <f aca="false">IF(Assm!$L$58=0,Ex,VLOOKUP(DATE(Q$7,12,1),Curves_Table,Escalation!$L$291))</f>
        <v>1.065</v>
      </c>
      <c r="R13" s="300" t="n">
        <f aca="false">IF(Assm!$L$58=0,Ex,VLOOKUP(DATE(R$7,12,1),Curves_Table,Escalation!$L$291))</f>
        <v>1.065</v>
      </c>
      <c r="S13" s="300" t="n">
        <f aca="false">IF(Assm!$L$58=0,Ex,VLOOKUP(DATE(S$7,12,1),Curves_Table,Escalation!$L$291))</f>
        <v>1.065</v>
      </c>
      <c r="T13" s="300" t="n">
        <f aca="false">IF(Assm!$L$58=0,Ex,VLOOKUP(DATE(T$7,12,1),Curves_Table,Escalation!$L$291))</f>
        <v>1.065</v>
      </c>
      <c r="U13" s="300" t="n">
        <f aca="false">IF(Assm!$L$58=0,Ex,VLOOKUP(DATE(U$7,12,1),Curves_Table,Escalation!$L$291))</f>
        <v>1.065</v>
      </c>
      <c r="V13" s="300" t="n">
        <f aca="false">IF(Assm!$L$58=0,Ex,VLOOKUP(DATE(V$7,12,1),Curves_Table,Escalation!$L$291))</f>
        <v>1.065</v>
      </c>
      <c r="W13" s="300" t="n">
        <f aca="false">IF(Assm!$L$58=0,Ex,VLOOKUP(DATE(W$7,12,1),Curves_Table,Escalation!$L$291))</f>
        <v>1.065</v>
      </c>
      <c r="X13" s="300" t="n">
        <f aca="false">IF(Assm!$L$58=0,Ex,VLOOKUP(DATE(X$7,12,1),Curves_Table,Escalation!$L$291))</f>
        <v>1.065</v>
      </c>
      <c r="Y13" s="300" t="n">
        <f aca="false">IF(Assm!$L$58=0,Ex,VLOOKUP(DATE(Y$7,12,1),Curves_Table,Escalation!$L$291))</f>
        <v>1.065</v>
      </c>
      <c r="Z13" s="301"/>
      <c r="AA13" s="39"/>
      <c r="AB13" s="136" t="n">
        <f aca="false">AB12+1</f>
        <v>7</v>
      </c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37"/>
      <c r="C14" s="39"/>
      <c r="D14" s="39"/>
      <c r="E14" s="302"/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1"/>
      <c r="AA14" s="39"/>
      <c r="AB14" s="136" t="n">
        <f aca="false">AB13+1</f>
        <v>8</v>
      </c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303" t="s">
        <v>328</v>
      </c>
      <c r="B15" s="38"/>
      <c r="C15" s="39"/>
      <c r="D15" s="39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304"/>
      <c r="AB15" s="136" t="n">
        <f aca="false">AB14+1</f>
        <v>9</v>
      </c>
    </row>
    <row r="16" customFormat="false" ht="12.75" hidden="false" customHeight="false" outlineLevel="0" collapsed="false">
      <c r="A16" s="305" t="s">
        <v>329</v>
      </c>
      <c r="B16" s="105"/>
      <c r="C16" s="39"/>
      <c r="D16" s="39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304"/>
      <c r="AB16" s="136" t="n">
        <f aca="false">AB15+1</f>
        <v>10</v>
      </c>
    </row>
    <row r="17" customFormat="false" ht="12.75" hidden="false" customHeight="false" outlineLevel="0" collapsed="false">
      <c r="A17" s="37"/>
      <c r="B17" s="39" t="s">
        <v>330</v>
      </c>
      <c r="C17" s="39"/>
      <c r="D17" s="39"/>
      <c r="E17" s="306" t="n">
        <f aca="false">IF(E$7&lt;YEAR(Startops1),0,VLOOKUP(DATE(E$7,12,1),Revenue_Table,Transportation!$M$249))</f>
        <v>0</v>
      </c>
      <c r="F17" s="306" t="n">
        <f aca="false">IF(F$7&lt;YEAR(Startops1),0,VLOOKUP(DATE(F$7,12,1),Revenue_Table,Transportation!$M$249))</f>
        <v>0</v>
      </c>
      <c r="G17" s="306" t="n">
        <f aca="false">IF(G$7&lt;YEAR(Startops1),0,VLOOKUP(DATE(G$7,12,1),Revenue_Table,Transportation!$M$249))</f>
        <v>8464.08082245497</v>
      </c>
      <c r="H17" s="306" t="n">
        <f aca="false">IF(H$7&lt;YEAR(Startops1),0,VLOOKUP(DATE(H$7,12,1),Revenue_Table,Transportation!$M$249))</f>
        <v>14255.1350679866</v>
      </c>
      <c r="I17" s="306" t="n">
        <f aca="false">IF(I$7&lt;YEAR(Startops1),0,VLOOKUP(DATE(I$7,12,1),Revenue_Table,Transportation!$M$249))</f>
        <v>14692.6643266972</v>
      </c>
      <c r="J17" s="306" t="n">
        <f aca="false">IF(J$7&lt;YEAR(Startops1),0,VLOOKUP(DATE(J$7,12,1),Revenue_Table,Transportation!$M$249))</f>
        <v>15166.7261290266</v>
      </c>
      <c r="K17" s="306" t="n">
        <f aca="false">IF(K$7&lt;YEAR(Startops1),0,VLOOKUP(DATE(K$7,12,1),Revenue_Table,Transportation!$M$249))</f>
        <v>15561.1605933461</v>
      </c>
      <c r="L17" s="306" t="n">
        <f aca="false">IF(L$7&lt;YEAR(Startops1),0,VLOOKUP(DATE(L$7,12,1),Revenue_Table,Transportation!$M$249))</f>
        <v>15999.6369712766</v>
      </c>
      <c r="M17" s="306" t="n">
        <f aca="false">IF(M$7&lt;YEAR(Startops1),0,VLOOKUP(DATE(M$7,12,1),Revenue_Table,Transportation!$M$249))</f>
        <v>16440.5194342833</v>
      </c>
      <c r="N17" s="306" t="n">
        <f aca="false">IF(N$7&lt;YEAR(Startops1),0,VLOOKUP(DATE(N$7,12,1),Revenue_Table,Transportation!$M$249))</f>
        <v>16928.9337579163</v>
      </c>
      <c r="O17" s="306" t="n">
        <f aca="false">IF(O$7&lt;YEAR(Startops1),0,VLOOKUP(DATE(O$7,12,1),Revenue_Table,Transportation!$M$249))</f>
        <v>17329.6696542016</v>
      </c>
      <c r="P17" s="306" t="n">
        <f aca="false">IF(P$7&lt;YEAR(Startops1),0,VLOOKUP(DATE(P$7,12,1),Revenue_Table,Transportation!$M$249))</f>
        <v>17779.8886398872</v>
      </c>
      <c r="Q17" s="306" t="n">
        <f aca="false">IF(Q$7&lt;YEAR(Startops1),0,VLOOKUP(DATE(Q$7,12,1),Revenue_Table,Transportation!$M$249))</f>
        <v>18234.9521276381</v>
      </c>
      <c r="R17" s="306" t="n">
        <f aca="false">IF(R$7&lt;YEAR(Startops1),0,VLOOKUP(DATE(R$7,12,1),Revenue_Table,Transportation!$M$249))</f>
        <v>18746.6664001565</v>
      </c>
      <c r="S17" s="306" t="n">
        <f aca="false">IF(S$7&lt;YEAR(Startops1),0,VLOOKUP(DATE(S$7,12,1),Revenue_Table,Transportation!$M$249))</f>
        <v>19166.3462288322</v>
      </c>
      <c r="T17" s="306" t="n">
        <f aca="false">IF(T$7&lt;YEAR(Startops1),0,VLOOKUP(DATE(T$7,12,1),Revenue_Table,Transportation!$M$249))</f>
        <v>19649.6774311726</v>
      </c>
      <c r="U17" s="306" t="n">
        <f aca="false">IF(U$7&lt;YEAR(Startops1),0,VLOOKUP(DATE(U$7,12,1),Revenue_Table,Transportation!$M$249))</f>
        <v>20151.1595364448</v>
      </c>
      <c r="V17" s="306" t="n">
        <f aca="false">IF(V$7&lt;YEAR(Startops1),0,VLOOKUP(DATE(V$7,12,1),Revenue_Table,Transportation!$M$249))</f>
        <v>20729.4604535379</v>
      </c>
      <c r="W17" s="306" t="n">
        <f aca="false">IF(W$7&lt;YEAR(Startops1),0,VLOOKUP(DATE(W$7,12,1),Revenue_Table,Transportation!$M$249))</f>
        <v>21219.9335601026</v>
      </c>
      <c r="X17" s="306" t="n">
        <f aca="false">IF(X$7&lt;YEAR(Startops1),0,VLOOKUP(DATE(X$7,12,1),Revenue_Table,Transportation!$M$249))</f>
        <v>21790.3124789758</v>
      </c>
      <c r="Y17" s="306" t="n">
        <f aca="false">IF(Y$7&lt;YEAR(Startops1),0,VLOOKUP(DATE(Y$7,12,1),Revenue_Table,Transportation!$M$249))</f>
        <v>7226.4497213104</v>
      </c>
      <c r="Z17" s="307" t="n">
        <f aca="false">SUM(E17:Y17)</f>
        <v>319533.373335247</v>
      </c>
      <c r="AB17" s="136" t="n">
        <f aca="false">AB16+1</f>
        <v>11</v>
      </c>
    </row>
    <row r="18" customFormat="false" ht="12.75" hidden="false" customHeight="false" outlineLevel="0" collapsed="false">
      <c r="A18" s="37"/>
      <c r="B18" s="38" t="s">
        <v>331</v>
      </c>
      <c r="C18" s="39"/>
      <c r="D18" s="136"/>
      <c r="E18" s="308" t="n">
        <f aca="false">SUM(E17)</f>
        <v>0</v>
      </c>
      <c r="F18" s="308" t="n">
        <f aca="false">SUM(F17)</f>
        <v>0</v>
      </c>
      <c r="G18" s="308" t="n">
        <f aca="false">SUM(G17)</f>
        <v>8464.08082245497</v>
      </c>
      <c r="H18" s="308" t="n">
        <f aca="false">SUM(H17)</f>
        <v>14255.1350679866</v>
      </c>
      <c r="I18" s="308" t="n">
        <f aca="false">SUM(I17)</f>
        <v>14692.6643266972</v>
      </c>
      <c r="J18" s="308" t="n">
        <f aca="false">SUM(J17)</f>
        <v>15166.7261290266</v>
      </c>
      <c r="K18" s="308" t="n">
        <f aca="false">SUM(K17)</f>
        <v>15561.1605933461</v>
      </c>
      <c r="L18" s="308" t="n">
        <f aca="false">SUM(L17)</f>
        <v>15999.6369712766</v>
      </c>
      <c r="M18" s="308" t="n">
        <f aca="false">SUM(M17)</f>
        <v>16440.5194342833</v>
      </c>
      <c r="N18" s="308" t="n">
        <f aca="false">SUM(N17)</f>
        <v>16928.9337579163</v>
      </c>
      <c r="O18" s="308" t="n">
        <f aca="false">SUM(O17)</f>
        <v>17329.6696542016</v>
      </c>
      <c r="P18" s="308" t="n">
        <f aca="false">SUM(P17)</f>
        <v>17779.8886398872</v>
      </c>
      <c r="Q18" s="308" t="n">
        <f aca="false">SUM(Q17)</f>
        <v>18234.9521276381</v>
      </c>
      <c r="R18" s="308" t="n">
        <f aca="false">SUM(R17)</f>
        <v>18746.6664001565</v>
      </c>
      <c r="S18" s="308" t="n">
        <f aca="false">SUM(S17)</f>
        <v>19166.3462288322</v>
      </c>
      <c r="T18" s="308" t="n">
        <f aca="false">SUM(T17)</f>
        <v>19649.6774311726</v>
      </c>
      <c r="U18" s="308" t="n">
        <f aca="false">SUM(U17)</f>
        <v>20151.1595364448</v>
      </c>
      <c r="V18" s="308" t="n">
        <f aca="false">SUM(V17)</f>
        <v>20729.4604535379</v>
      </c>
      <c r="W18" s="308" t="n">
        <f aca="false">SUM(W17)</f>
        <v>21219.9335601026</v>
      </c>
      <c r="X18" s="308" t="n">
        <f aca="false">SUM(X17)</f>
        <v>21790.3124789758</v>
      </c>
      <c r="Y18" s="308" t="n">
        <f aca="false">SUM(Y17)</f>
        <v>7226.4497213104</v>
      </c>
      <c r="Z18" s="309" t="n">
        <f aca="false">SUM(E18:Y18)</f>
        <v>319533.373335247</v>
      </c>
      <c r="AB18" s="136" t="n">
        <f aca="false">AB17+1</f>
        <v>12</v>
      </c>
    </row>
    <row r="19" customFormat="false" ht="12.75" hidden="false" customHeight="false" outlineLevel="0" collapsed="false">
      <c r="A19" s="303"/>
      <c r="B19" s="38"/>
      <c r="C19" s="39"/>
      <c r="D19" s="136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9"/>
      <c r="AB19" s="136" t="n">
        <f aca="false">AB18+1</f>
        <v>13</v>
      </c>
    </row>
    <row r="20" customFormat="false" ht="12.75" hidden="false" customHeight="false" outlineLevel="0" collapsed="false">
      <c r="A20" s="303" t="s">
        <v>332</v>
      </c>
      <c r="B20" s="38"/>
      <c r="C20" s="39"/>
      <c r="D20" s="310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304"/>
      <c r="AB20" s="136" t="n">
        <f aca="false">AB19+1</f>
        <v>14</v>
      </c>
    </row>
    <row r="21" customFormat="false" ht="12.75" hidden="false" customHeight="false" outlineLevel="0" collapsed="false">
      <c r="A21" s="305" t="s">
        <v>333</v>
      </c>
      <c r="B21" s="105"/>
      <c r="C21" s="39"/>
      <c r="D21" s="39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304"/>
      <c r="AB21" s="136" t="n">
        <f aca="false">AB20+1</f>
        <v>15</v>
      </c>
    </row>
    <row r="22" customFormat="false" ht="12.75" hidden="false" customHeight="false" outlineLevel="0" collapsed="false">
      <c r="A22" s="37"/>
      <c r="B22" s="39" t="str">
        <f aca="false">Assm!A40</f>
        <v>Salaries &amp; Benefits</v>
      </c>
      <c r="C22" s="39"/>
      <c r="D22" s="39"/>
      <c r="E22" s="61" t="n">
        <f aca="false">Assm!$E40*E$9/12*E$12</f>
        <v>0</v>
      </c>
      <c r="F22" s="61" t="n">
        <f aca="false">Assm!$E40*F$9/12*F$12</f>
        <v>0</v>
      </c>
      <c r="G22" s="61" t="n">
        <f aca="false">Assm!$E40*G$9/12*G$12</f>
        <v>159.59223534982</v>
      </c>
      <c r="H22" s="61" t="n">
        <f aca="false">Assm!$E40*H$9/12*H$12</f>
        <v>197.621616515303</v>
      </c>
      <c r="I22" s="61" t="n">
        <f aca="false">Assm!$E40*I$9/12*I$12</f>
        <v>203.573071292594</v>
      </c>
      <c r="J22" s="61" t="n">
        <f aca="false">Assm!$E40*J$9/12*J$12</f>
        <v>209.518575601764</v>
      </c>
      <c r="K22" s="61" t="n">
        <f aca="false">Assm!$E40*K$9/12*K$12</f>
        <v>215.500965587362</v>
      </c>
      <c r="L22" s="61" t="n">
        <f aca="false">Assm!$E40*L$9/12*L$12</f>
        <v>221.534743038156</v>
      </c>
      <c r="M22" s="61" t="n">
        <f aca="false">Assm!$E40*M$9/12*M$12</f>
        <v>227.592539566293</v>
      </c>
      <c r="N22" s="61" t="n">
        <f aca="false">Assm!$E40*N$9/12*N$12</f>
        <v>233.681333142271</v>
      </c>
      <c r="O22" s="61" t="n">
        <f aca="false">Assm!$E40*O$9/12*O$12</f>
        <v>239.820401677841</v>
      </c>
      <c r="P22" s="61" t="n">
        <f aca="false">Assm!$E40*P$9/12*P$12</f>
        <v>246.017496897114</v>
      </c>
      <c r="Q22" s="61" t="n">
        <f aca="false">Assm!$E40*Q$9/12*Q$12</f>
        <v>252.285208752385</v>
      </c>
      <c r="R22" s="61" t="n">
        <f aca="false">Assm!$E40*R$9/12*R$12</f>
        <v>258.646729347469</v>
      </c>
      <c r="S22" s="61" t="n">
        <f aca="false">Assm!$E40*S$9/12*S$12</f>
        <v>265.140281215894</v>
      </c>
      <c r="T22" s="61" t="n">
        <f aca="false">Assm!$E40*T$9/12*T$12</f>
        <v>271.840676699804</v>
      </c>
      <c r="U22" s="61" t="n">
        <f aca="false">Assm!$E40*U$9/12*U$12</f>
        <v>278.810826352259</v>
      </c>
      <c r="V22" s="61" t="n">
        <f aca="false">Assm!$E40*V$9/12*V$12</f>
        <v>286.081282275813</v>
      </c>
      <c r="W22" s="61" t="n">
        <f aca="false">Assm!$E40*W$9/12*W$12</f>
        <v>293.685161170997</v>
      </c>
      <c r="X22" s="61" t="n">
        <f aca="false">Assm!$E40*X$9/12*X$12</f>
        <v>301.621270259996</v>
      </c>
      <c r="Y22" s="61" t="n">
        <f aca="false">Assm!$E40*Y$9/12*Y$12</f>
        <v>103.299585214683</v>
      </c>
      <c r="Z22" s="304" t="n">
        <f aca="false">SUM(E22:Y22)</f>
        <v>4465.86399995782</v>
      </c>
      <c r="AB22" s="136" t="n">
        <f aca="false">AB21+1</f>
        <v>16</v>
      </c>
    </row>
    <row r="23" customFormat="false" ht="12.75" hidden="false" customHeight="false" outlineLevel="0" collapsed="false">
      <c r="A23" s="37"/>
      <c r="B23" s="39" t="str">
        <f aca="false">Assm!A41</f>
        <v>Administrative Expenses - General</v>
      </c>
      <c r="C23" s="39"/>
      <c r="D23" s="39"/>
      <c r="E23" s="61" t="n">
        <f aca="false">Assm!$E41*E$9/12*E$12</f>
        <v>0</v>
      </c>
      <c r="F23" s="61" t="n">
        <f aca="false">Assm!$E41*F$9/12*F$12</f>
        <v>0</v>
      </c>
      <c r="G23" s="61" t="n">
        <f aca="false">Assm!$E41*G$9/12*G$12</f>
        <v>49.3731277865703</v>
      </c>
      <c r="H23" s="61" t="n">
        <f aca="false">Assm!$E41*H$9/12*H$12</f>
        <v>61.1382960092718</v>
      </c>
      <c r="I23" s="61" t="n">
        <f aca="false">Assm!$E41*I$9/12*I$12</f>
        <v>62.9795004800976</v>
      </c>
      <c r="J23" s="61" t="n">
        <f aca="false">Assm!$E41*J$9/12*J$12</f>
        <v>64.8188640516951</v>
      </c>
      <c r="K23" s="61" t="n">
        <f aca="false">Assm!$E41*K$9/12*K$12</f>
        <v>66.6696389630218</v>
      </c>
      <c r="L23" s="61" t="n">
        <f aca="false">Assm!$E41*L$9/12*L$12</f>
        <v>68.5363116395514</v>
      </c>
      <c r="M23" s="61" t="n">
        <f aca="false">Assm!$E41*M$9/12*M$12</f>
        <v>70.4104151097681</v>
      </c>
      <c r="N23" s="61" t="n">
        <f aca="false">Assm!$E41*N$9/12*N$12</f>
        <v>72.2941081518128</v>
      </c>
      <c r="O23" s="61" t="n">
        <f aca="false">Assm!$E41*O$9/12*O$12</f>
        <v>74.1933547826581</v>
      </c>
      <c r="P23" s="61" t="n">
        <f aca="false">Assm!$E41*P$9/12*P$12</f>
        <v>76.1105531569777</v>
      </c>
      <c r="Q23" s="61" t="n">
        <f aca="false">Assm!$E41*Q$9/12*Q$12</f>
        <v>78.0495982344616</v>
      </c>
      <c r="R23" s="61" t="n">
        <f aca="false">Assm!$E41*R$9/12*R$12</f>
        <v>80.0176649675925</v>
      </c>
      <c r="S23" s="61" t="n">
        <f aca="false">Assm!$E41*S$9/12*S$12</f>
        <v>82.026578280234</v>
      </c>
      <c r="T23" s="61" t="n">
        <f aca="false">Assm!$E41*T$9/12*T$12</f>
        <v>84.0994829032096</v>
      </c>
      <c r="U23" s="61" t="n">
        <f aca="false">Assm!$E41*U$9/12*U$12</f>
        <v>86.2558415050414</v>
      </c>
      <c r="V23" s="61" t="n">
        <f aca="false">Assm!$E41*V$9/12*V$12</f>
        <v>88.5051060046169</v>
      </c>
      <c r="W23" s="61" t="n">
        <f aca="false">Assm!$E41*W$9/12*W$12</f>
        <v>90.857521731752</v>
      </c>
      <c r="X23" s="61" t="n">
        <f aca="false">Assm!$E41*X$9/12*X$12</f>
        <v>93.3127196761909</v>
      </c>
      <c r="Y23" s="61" t="n">
        <f aca="false">Assm!$E41*Y$9/12*Y$12</f>
        <v>31.9578431239136</v>
      </c>
      <c r="Z23" s="304" t="n">
        <f aca="false">SUM(E23:Y23)</f>
        <v>1381.60652655844</v>
      </c>
      <c r="AB23" s="136" t="n">
        <f aca="false">AB22+1</f>
        <v>17</v>
      </c>
    </row>
    <row r="24" customFormat="false" ht="12.75" hidden="false" customHeight="false" outlineLevel="0" collapsed="false">
      <c r="A24" s="37"/>
      <c r="B24" s="39" t="str">
        <f aca="false">Assm!A42</f>
        <v>Administrative Expenses - Transredes</v>
      </c>
      <c r="C24" s="39"/>
      <c r="D24" s="39"/>
      <c r="E24" s="61" t="n">
        <f aca="false">Assm!$E42*E$9/12*E$12</f>
        <v>0</v>
      </c>
      <c r="F24" s="61" t="n">
        <f aca="false">Assm!$E42*F$9/12*F$12</f>
        <v>0</v>
      </c>
      <c r="G24" s="61" t="n">
        <f aca="false">Assm!$E42*G$9/12*G$12</f>
        <v>228.579295308196</v>
      </c>
      <c r="H24" s="61" t="n">
        <f aca="false">Assm!$E42*H$9/12*H$12</f>
        <v>283.047666709591</v>
      </c>
      <c r="I24" s="61" t="n">
        <f aca="false">Assm!$E42*I$9/12*I$12</f>
        <v>291.571761481933</v>
      </c>
      <c r="J24" s="61" t="n">
        <f aca="false">Assm!$E42*J$9/12*J$12</f>
        <v>300.087333572663</v>
      </c>
      <c r="K24" s="61" t="n">
        <f aca="false">Assm!$E42*K$9/12*K$12</f>
        <v>308.655735939916</v>
      </c>
      <c r="L24" s="61" t="n">
        <f aca="false">Assm!$E42*L$9/12*L$12</f>
        <v>317.297739071997</v>
      </c>
      <c r="M24" s="61" t="n">
        <f aca="false">Assm!$E42*M$9/12*M$12</f>
        <v>325.974144026704</v>
      </c>
      <c r="N24" s="61" t="n">
        <f aca="false">Assm!$E42*N$9/12*N$12</f>
        <v>334.694945147282</v>
      </c>
      <c r="O24" s="61" t="n">
        <f aca="false">Assm!$E42*O$9/12*O$12</f>
        <v>343.487753623417</v>
      </c>
      <c r="P24" s="61" t="n">
        <f aca="false">Assm!$E42*P$9/12*P$12</f>
        <v>352.363672023045</v>
      </c>
      <c r="Q24" s="61" t="n">
        <f aca="false">Assm!$E42*Q$9/12*Q$12</f>
        <v>361.340732566952</v>
      </c>
      <c r="R24" s="61" t="n">
        <f aca="false">Assm!$E42*R$9/12*R$12</f>
        <v>370.452152627743</v>
      </c>
      <c r="S24" s="61" t="n">
        <f aca="false">Assm!$E42*S$9/12*S$12</f>
        <v>379.752677223306</v>
      </c>
      <c r="T24" s="61" t="n">
        <f aca="false">Assm!$E42*T$9/12*T$12</f>
        <v>389.349457885229</v>
      </c>
      <c r="U24" s="61" t="n">
        <f aca="false">Assm!$E42*U$9/12*U$12</f>
        <v>399.332599560377</v>
      </c>
      <c r="V24" s="61" t="n">
        <f aca="false">Assm!$E42*V$9/12*V$12</f>
        <v>409.745861132486</v>
      </c>
      <c r="W24" s="61" t="n">
        <f aca="false">Assm!$E42*W$9/12*W$12</f>
        <v>420.636674684037</v>
      </c>
      <c r="X24" s="61" t="n">
        <f aca="false">Assm!$E42*X$9/12*X$12</f>
        <v>432.003331834217</v>
      </c>
      <c r="Y24" s="61" t="n">
        <f aca="false">Assm!$E42*Y$9/12*Y$12</f>
        <v>147.952977425526</v>
      </c>
      <c r="Z24" s="304" t="n">
        <f aca="false">SUM(E24:Y24)</f>
        <v>6396.32651184462</v>
      </c>
      <c r="AB24" s="136" t="n">
        <f aca="false">AB23+1</f>
        <v>18</v>
      </c>
    </row>
    <row r="25" customFormat="false" ht="12.75" hidden="false" customHeight="false" outlineLevel="0" collapsed="false">
      <c r="A25" s="37"/>
      <c r="B25" s="39" t="str">
        <f aca="false">Assm!A43</f>
        <v>Equipment Rental</v>
      </c>
      <c r="C25" s="39"/>
      <c r="D25" s="39"/>
      <c r="E25" s="61" t="n">
        <f aca="false">Trapped!F64</f>
        <v>0</v>
      </c>
      <c r="F25" s="61" t="n">
        <f aca="false">Trapped!G64</f>
        <v>0</v>
      </c>
      <c r="G25" s="61" t="n">
        <f aca="false">Trapped!H64</f>
        <v>601.682878819496</v>
      </c>
      <c r="H25" s="61" t="n">
        <f aca="false">Trapped!I64</f>
        <v>745.05844774499</v>
      </c>
      <c r="I25" s="61" t="n">
        <f aca="false">Trapped!J64</f>
        <v>1467.26841129621</v>
      </c>
      <c r="J25" s="61" t="n">
        <f aca="false">Trapped!K64</f>
        <v>789.911485717979</v>
      </c>
      <c r="K25" s="61" t="n">
        <f aca="false">Trapped!L64</f>
        <v>812.465851354034</v>
      </c>
      <c r="L25" s="61" t="n">
        <f aca="false">Trapped!M64</f>
        <v>835.213954222524</v>
      </c>
      <c r="M25" s="61" t="n">
        <f aca="false">Trapped!N64</f>
        <v>858.05261204546</v>
      </c>
      <c r="N25" s="61" t="n">
        <f aca="false">Trapped!O64</f>
        <v>881.008132652725</v>
      </c>
      <c r="O25" s="61" t="n">
        <f aca="false">Trapped!P64</f>
        <v>904.153196205819</v>
      </c>
      <c r="P25" s="61" t="n">
        <f aca="false">Trapped!Q64</f>
        <v>927.517027683444</v>
      </c>
      <c r="Q25" s="61" t="n">
        <f aca="false">Trapped!R64</f>
        <v>951.147092795475</v>
      </c>
      <c r="R25" s="61" t="n">
        <f aca="false">Trapped!S64</f>
        <v>975.130828701734</v>
      </c>
      <c r="S25" s="61" t="n">
        <f aca="false">Trapped!T64</f>
        <v>1911.01876451588</v>
      </c>
      <c r="T25" s="61" t="n">
        <f aca="false">Trapped!U64</f>
        <v>1024.87367620647</v>
      </c>
      <c r="U25" s="61" t="n">
        <f aca="false">Trapped!V64</f>
        <v>1051.15202050999</v>
      </c>
      <c r="V25" s="61" t="n">
        <f aca="false">Trapped!W64</f>
        <v>1078.56255737493</v>
      </c>
      <c r="W25" s="61" t="n">
        <f aca="false">Trapped!X64</f>
        <v>1107.2301409439</v>
      </c>
      <c r="X25" s="61" t="n">
        <f aca="false">Trapped!Y64</f>
        <v>1137.15027429392</v>
      </c>
      <c r="Y25" s="61" t="n">
        <f aca="false">Trapped!Z64</f>
        <v>389.452479793844</v>
      </c>
      <c r="Z25" s="304" t="n">
        <f aca="false">SUM(E25:Y25)</f>
        <v>18448.0498328788</v>
      </c>
      <c r="AB25" s="136" t="n">
        <f aca="false">AB24+1</f>
        <v>19</v>
      </c>
    </row>
    <row r="26" customFormat="false" ht="12.75" hidden="false" customHeight="false" outlineLevel="0" collapsed="false">
      <c r="A26" s="37"/>
      <c r="B26" s="39" t="str">
        <f aca="false">Assm!A44</f>
        <v>Other O&amp;M Expenses</v>
      </c>
      <c r="C26" s="39"/>
      <c r="D26" s="39"/>
      <c r="E26" s="61" t="n">
        <f aca="false">((Assm!$E44*E$9/12)+IF(OR(E$6=3,E$6=6,E$6=9,E$6=12,E$6=15,E$6=18),Assm!$B$44,0))*E$12</f>
        <v>0</v>
      </c>
      <c r="F26" s="61" t="n">
        <f aca="false">((Assm!$E44*F$9/12)+IF(OR(F$6=3,F$6=6,F$6=9,F$6=12,F$6=15,F$6=18),Assm!$B$44,0))*F$12</f>
        <v>0</v>
      </c>
      <c r="G26" s="61" t="n">
        <f aca="false">((Assm!$E44*G$9/12)+IF(OR(G$6=3,G$6=6,G$6=9,G$6=12,G$6=15,G$6=18),Assm!$B$44,0))*G$12</f>
        <v>28.5266960544629</v>
      </c>
      <c r="H26" s="61" t="n">
        <f aca="false">((Assm!$E44*H$9/12)+IF(OR(H$6=3,H$6=6,H$6=9,H$6=12,H$6=15,H$6=18),Assm!$B$44,0))*H$12</f>
        <v>8.15177280123623</v>
      </c>
      <c r="I26" s="61" t="n">
        <f aca="false">((Assm!$E44*I$9/12)+IF(OR(I$6=3,I$6=6,I$6=9,I$6=12,I$6=15,I$6=18),Assm!$B$44,0))*I$12</f>
        <v>8.39726673067968</v>
      </c>
      <c r="J26" s="61" t="n">
        <f aca="false">((Assm!$E44*J$9/12)+IF(OR(J$6=3,J$6=6,J$6=9,J$6=12,J$6=15,J$6=18),Assm!$B$44,0))*J$12</f>
        <v>32.6495018927057</v>
      </c>
      <c r="K26" s="61" t="n">
        <f aca="false">((Assm!$E44*K$9/12)+IF(OR(K$6=3,K$6=6,K$6=9,K$6=12,K$6=15,K$6=18),Assm!$B$44,0))*K$12</f>
        <v>8.88928519506957</v>
      </c>
      <c r="L26" s="61" t="n">
        <f aca="false">((Assm!$E44*L$9/12)+IF(OR(L$6=3,L$6=6,L$6=9,L$6=12,L$6=15,L$6=18),Assm!$B$44,0))*L$12</f>
        <v>9.13817488527352</v>
      </c>
      <c r="M26" s="61" t="n">
        <f aca="false">((Assm!$E44*M$9/12)+IF(OR(M$6=3,M$6=6,M$6=9,M$6=12,M$6=15,M$6=18),Assm!$B$44,0))*M$12</f>
        <v>35.4659868701054</v>
      </c>
      <c r="N26" s="61" t="n">
        <f aca="false">((Assm!$E44*N$9/12)+IF(OR(N$6=3,N$6=6,N$6=9,N$6=12,N$6=15,N$6=18),Assm!$B$44,0))*N$12</f>
        <v>9.63921442024171</v>
      </c>
      <c r="O26" s="61" t="n">
        <f aca="false">((Assm!$E44*O$9/12)+IF(OR(O$6=3,O$6=6,O$6=9,O$6=12,O$6=15,O$6=18),Assm!$B$44,0))*O$12</f>
        <v>9.89244730435441</v>
      </c>
      <c r="P26" s="61" t="n">
        <f aca="false">((Assm!$E44*P$9/12)+IF(OR(P$6=3,P$6=6,P$6=9,P$6=12,P$6=15,P$6=18),Assm!$B$44,0))*P$12</f>
        <v>38.3371675161073</v>
      </c>
      <c r="Q26" s="61" t="n">
        <f aca="false">((Assm!$E44*Q$9/12)+IF(OR(Q$6=3,Q$6=6,Q$6=9,Q$6=12,Q$6=15,Q$6=18),Assm!$B$44,0))*Q$12</f>
        <v>10.4066130979282</v>
      </c>
      <c r="R26" s="61" t="n">
        <f aca="false">((Assm!$E44*R$9/12)+IF(OR(R$6=3,R$6=6,R$6=9,R$6=12,R$6=15,R$6=18),Assm!$B$44,0))*R$12</f>
        <v>10.669021995679</v>
      </c>
      <c r="S26" s="61" t="n">
        <f aca="false">((Assm!$E44*S$9/12)+IF(OR(S$6=3,S$6=6,S$6=9,S$6=12,S$6=15,S$6=18),Assm!$B$44,0))*S$12</f>
        <v>41.3170912818957</v>
      </c>
      <c r="T26" s="61" t="n">
        <f aca="false">((Assm!$E44*T$9/12)+IF(OR(T$6=3,T$6=6,T$6=9,T$6=12,T$6=15,T$6=18),Assm!$B$44,0))*T$12</f>
        <v>11.2132643870946</v>
      </c>
      <c r="U26" s="61" t="n">
        <f aca="false">((Assm!$E44*U$9/12)+IF(OR(U$6=3,U$6=6,U$6=9,U$6=12,U$6=15,U$6=18),Assm!$B$44,0))*U$12</f>
        <v>11.5007788673389</v>
      </c>
      <c r="V26" s="61" t="n">
        <f aca="false">((Assm!$E44*V$9/12)+IF(OR(V$6=3,V$6=6,V$6=9,V$6=12,V$6=15,V$6=18),Assm!$B$44,0))*V$12</f>
        <v>44.5803496912145</v>
      </c>
      <c r="W26" s="61" t="n">
        <f aca="false">((Assm!$E44*W$9/12)+IF(OR(W$6=3,W$6=6,W$6=9,W$6=12,W$6=15,W$6=18),Assm!$B$44,0))*W$12</f>
        <v>12.1143362309003</v>
      </c>
      <c r="X26" s="61" t="n">
        <f aca="false">((Assm!$E44*X$9/12)+IF(OR(X$6=3,X$6=6,X$6=9,X$6=12,X$6=15,X$6=18),Assm!$B$44,0))*X$12</f>
        <v>12.4416959568254</v>
      </c>
      <c r="Y26" s="61" t="n">
        <f aca="false">((Assm!$E44*Y$9/12)+IF(OR(Y$6=3,Y$6=6,Y$6=9,Y$6=12,Y$6=15,Y$6=18),Assm!$B$44,0))*Y$12</f>
        <v>4.26104574985515</v>
      </c>
      <c r="Z26" s="304" t="n">
        <f aca="false">SUM(E26:Y26)</f>
        <v>347.591710928968</v>
      </c>
      <c r="AB26" s="136" t="n">
        <f aca="false">AB25+1</f>
        <v>20</v>
      </c>
    </row>
    <row r="27" customFormat="false" ht="12.75" hidden="false" customHeight="false" outlineLevel="0" collapsed="false">
      <c r="A27" s="37"/>
      <c r="B27" s="39" t="str">
        <f aca="false">Assm!A45</f>
        <v>Gas Loss</v>
      </c>
      <c r="C27" s="39"/>
      <c r="D27" s="39"/>
      <c r="E27" s="61" t="n">
        <f aca="false">Assm!$E45*E$9/12*E$12</f>
        <v>0</v>
      </c>
      <c r="F27" s="61" t="n">
        <f aca="false">Assm!$E45*F$9/12*F$12</f>
        <v>0</v>
      </c>
      <c r="G27" s="61" t="n">
        <f aca="false">Assm!$E45*G$9/12*G$12</f>
        <v>0</v>
      </c>
      <c r="H27" s="61" t="n">
        <f aca="false">Assm!$E45*H$9/12*H$12</f>
        <v>0</v>
      </c>
      <c r="I27" s="61" t="n">
        <f aca="false">Assm!$E45*I$9/12*I$12</f>
        <v>0</v>
      </c>
      <c r="J27" s="61" t="n">
        <f aca="false">Assm!$E45*J$9/12*J$12</f>
        <v>0</v>
      </c>
      <c r="K27" s="61" t="n">
        <f aca="false">Assm!$E45*K$9/12*K$12</f>
        <v>0</v>
      </c>
      <c r="L27" s="61" t="n">
        <f aca="false">Assm!$E45*L$9/12*L$12</f>
        <v>0</v>
      </c>
      <c r="M27" s="61" t="n">
        <f aca="false">Assm!$E45*M$9/12*M$12</f>
        <v>0</v>
      </c>
      <c r="N27" s="61" t="n">
        <f aca="false">Assm!$E45*N$9/12*N$12</f>
        <v>0</v>
      </c>
      <c r="O27" s="61" t="n">
        <f aca="false">Assm!$E45*O$9/12*O$12</f>
        <v>0</v>
      </c>
      <c r="P27" s="61" t="n">
        <f aca="false">Assm!$E45*P$9/12*P$12</f>
        <v>0</v>
      </c>
      <c r="Q27" s="61" t="n">
        <f aca="false">Assm!$E45*Q$9/12*Q$12</f>
        <v>0</v>
      </c>
      <c r="R27" s="61" t="n">
        <f aca="false">Assm!$E45*R$9/12*R$12</f>
        <v>0</v>
      </c>
      <c r="S27" s="61" t="n">
        <f aca="false">Assm!$E45*S$9/12*S$12</f>
        <v>0</v>
      </c>
      <c r="T27" s="61" t="n">
        <f aca="false">Assm!$E45*T$9/12*T$12</f>
        <v>0</v>
      </c>
      <c r="U27" s="61" t="n">
        <f aca="false">Assm!$E45*U$9/12*U$12</f>
        <v>0</v>
      </c>
      <c r="V27" s="61" t="n">
        <f aca="false">Assm!$E45*V$9/12*V$12</f>
        <v>0</v>
      </c>
      <c r="W27" s="61" t="n">
        <f aca="false">Assm!$E45*W$9/12*W$12</f>
        <v>0</v>
      </c>
      <c r="X27" s="61" t="n">
        <f aca="false">Assm!$E45*X$9/12*X$12</f>
        <v>0</v>
      </c>
      <c r="Y27" s="61" t="n">
        <f aca="false">Assm!$E45*Y$9/12*Y$12</f>
        <v>0</v>
      </c>
      <c r="Z27" s="304" t="n">
        <f aca="false">SUM(E27:Y27)</f>
        <v>0</v>
      </c>
      <c r="AB27" s="136" t="n">
        <f aca="false">AB26+1</f>
        <v>21</v>
      </c>
    </row>
    <row r="28" customFormat="false" ht="12.75" hidden="false" customHeight="false" outlineLevel="0" collapsed="false">
      <c r="A28" s="37"/>
      <c r="B28" s="39" t="str">
        <f aca="false">Assm!A46</f>
        <v>Technical Services Fee</v>
      </c>
      <c r="C28" s="311" t="s">
        <v>235</v>
      </c>
      <c r="D28" s="39"/>
      <c r="E28" s="61" t="n">
        <f aca="false">Assm!$E46*E$9/12*E$12</f>
        <v>0</v>
      </c>
      <c r="F28" s="61" t="n">
        <f aca="false">Assm!$E46*F$9/12*F$12</f>
        <v>0</v>
      </c>
      <c r="G28" s="61" t="n">
        <f aca="false">Assm!$E46*G$9/12*G$12</f>
        <v>154.804870588885</v>
      </c>
      <c r="H28" s="61" t="n">
        <f aca="false">Assm!$E46*H$9/12*H$12</f>
        <v>191.693466183737</v>
      </c>
      <c r="I28" s="61" t="n">
        <f aca="false">Assm!$E46*I$9/12*I$12</f>
        <v>197.466392320116</v>
      </c>
      <c r="J28" s="61" t="n">
        <f aca="false">Assm!$E46*J$9/12*J$12</f>
        <v>203.233546487419</v>
      </c>
      <c r="K28" s="61" t="n">
        <f aca="false">Assm!$E46*K$9/12*K$12</f>
        <v>209.036479853836</v>
      </c>
      <c r="L28" s="61" t="n">
        <f aca="false">Assm!$E46*L$9/12*L$12</f>
        <v>214.889259191032</v>
      </c>
      <c r="M28" s="61" t="n">
        <f aca="false">Assm!$E46*M$9/12*M$12</f>
        <v>220.765337093797</v>
      </c>
      <c r="N28" s="61" t="n">
        <f aca="false">Assm!$E46*N$9/12*N$12</f>
        <v>226.671482211106</v>
      </c>
      <c r="O28" s="61" t="n">
        <f aca="false">Assm!$E46*O$9/12*O$12</f>
        <v>232.626394165952</v>
      </c>
      <c r="P28" s="61" t="n">
        <f aca="false">Assm!$E46*P$9/12*P$12</f>
        <v>238.637592150263</v>
      </c>
      <c r="Q28" s="61" t="n">
        <f aca="false">Assm!$E46*Q$9/12*Q$12</f>
        <v>244.717288449503</v>
      </c>
      <c r="R28" s="61" t="n">
        <f aca="false">Assm!$E46*R$9/12*R$12</f>
        <v>250.887979462834</v>
      </c>
      <c r="S28" s="61" t="n">
        <f aca="false">Assm!$E46*S$9/12*S$12</f>
        <v>257.186741144129</v>
      </c>
      <c r="T28" s="61" t="n">
        <f aca="false">Assm!$E46*T$9/12*T$12</f>
        <v>263.686141653856</v>
      </c>
      <c r="U28" s="61" t="n">
        <f aca="false">Assm!$E46*U$9/12*U$12</f>
        <v>270.447204387066</v>
      </c>
      <c r="V28" s="61" t="n">
        <f aca="false">Assm!$E46*V$9/12*V$12</f>
        <v>277.499564960254</v>
      </c>
      <c r="W28" s="61" t="n">
        <f aca="false">Assm!$E46*W$9/12*W$12</f>
        <v>284.875346656415</v>
      </c>
      <c r="X28" s="61" t="n">
        <f aca="false">Assm!$E46*X$9/12*X$12</f>
        <v>292.57339247806</v>
      </c>
      <c r="Y28" s="61" t="n">
        <f aca="false">Assm!$E46*Y$9/12*Y$12</f>
        <v>100.200858055483</v>
      </c>
      <c r="Z28" s="304" t="n">
        <f aca="false">SUM(E28:Y28)</f>
        <v>4331.89933749374</v>
      </c>
      <c r="AB28" s="136" t="n">
        <f aca="false">AB27+1</f>
        <v>22</v>
      </c>
    </row>
    <row r="29" customFormat="false" ht="12.75" hidden="false" customHeight="false" outlineLevel="0" collapsed="false">
      <c r="A29" s="37"/>
      <c r="B29" s="39" t="str">
        <f aca="false">Assm!A47</f>
        <v>Capital Budget Expenses (See Trapped Cash Sheet)</v>
      </c>
      <c r="C29" s="54"/>
      <c r="D29" s="39"/>
      <c r="E29" s="61" t="n">
        <f aca="false">IF(E$7&lt;YEAR(Startops1),0,Trapped!F43*E$12)</f>
        <v>0</v>
      </c>
      <c r="F29" s="61" t="n">
        <f aca="false">IF(F$7&lt;YEAR(Startops1),0,Trapped!G43*F$12)</f>
        <v>0</v>
      </c>
      <c r="G29" s="61" t="n">
        <f aca="false">IF(G$7&lt;YEAR(Startops1),0,Trapped!H43*G$12)</f>
        <v>14.2633480272314</v>
      </c>
      <c r="H29" s="61" t="n">
        <f aca="false">IF(H$7&lt;YEAR(Startops1),0,Trapped!I43*H$12)</f>
        <v>59.4400100090142</v>
      </c>
      <c r="I29" s="61" t="n">
        <f aca="false">IF(I$7&lt;YEAR(Startops1),0,Trapped!J43*I$12)</f>
        <v>227.425973955908</v>
      </c>
      <c r="J29" s="61" t="n">
        <f aca="false">IF(J$7&lt;YEAR(Startops1),0,Trapped!K43*J$12)</f>
        <v>15.6045413457784</v>
      </c>
      <c r="K29" s="61" t="n">
        <f aca="false">IF(K$7&lt;YEAR(Startops1),0,Trapped!L43*K$12)</f>
        <v>16.0500982688756</v>
      </c>
      <c r="L29" s="61" t="n">
        <f aca="false">IF(L$7&lt;YEAR(Startops1),0,Trapped!M43*L$12)</f>
        <v>108.515826762623</v>
      </c>
      <c r="M29" s="61" t="n">
        <f aca="false">IF(M$7&lt;YEAR(Startops1),0,Trapped!N43*M$12)</f>
        <v>16.9506554893886</v>
      </c>
      <c r="N29" s="61" t="n">
        <f aca="false">IF(N$7&lt;YEAR(Startops1),0,Trapped!O43*N$12)</f>
        <v>261.06205721488</v>
      </c>
      <c r="O29" s="61" t="n">
        <f aca="false">IF(O$7&lt;YEAR(Startops1),0,Trapped!P43*O$12)</f>
        <v>17.8613631884177</v>
      </c>
      <c r="P29" s="61" t="n">
        <f aca="false">IF(P$7&lt;YEAR(Startops1),0,Trapped!Q43*P$12)</f>
        <v>73.9963711248394</v>
      </c>
      <c r="Q29" s="61" t="n">
        <f aca="false">IF(Q$7&lt;YEAR(Startops1),0,Trapped!R43*Q$12)</f>
        <v>18.7897180934815</v>
      </c>
      <c r="R29" s="61" t="n">
        <f aca="false">IF(R$7&lt;YEAR(Startops1),0,Trapped!S43*R$12)</f>
        <v>19.2635119366426</v>
      </c>
      <c r="S29" s="61" t="n">
        <f aca="false">IF(S$7&lt;YEAR(Startops1),0,Trapped!T43*S$12)</f>
        <v>296.207088234178</v>
      </c>
      <c r="T29" s="61" t="n">
        <f aca="false">IF(T$7&lt;YEAR(Startops1),0,Trapped!U43*T$12)</f>
        <v>133.157514596748</v>
      </c>
      <c r="U29" s="61" t="n">
        <f aca="false">IF(U$7&lt;YEAR(Startops1),0,Trapped!V43*U$12)</f>
        <v>20.7652951771396</v>
      </c>
      <c r="V29" s="61" t="n">
        <f aca="false">IF(V$7&lt;YEAR(Startops1),0,Trapped!W43*V$12)</f>
        <v>21.3067847788893</v>
      </c>
      <c r="W29" s="61" t="n">
        <f aca="false">IF(W$7&lt;YEAR(Startops1),0,Trapped!X43*W$12)</f>
        <v>21.8731070835699</v>
      </c>
      <c r="X29" s="61" t="n">
        <f aca="false">IF(X$7&lt;YEAR(Startops1),0,Trapped!Y43*X$12)</f>
        <v>0</v>
      </c>
      <c r="Y29" s="61" t="n">
        <f aca="false">IF(Y$7&lt;YEAR(Startops1),0,Trapped!Z43*Y$12)</f>
        <v>0</v>
      </c>
      <c r="Z29" s="304" t="n">
        <f aca="false">SUM(E29:Y29)</f>
        <v>1342.53326528761</v>
      </c>
      <c r="AB29" s="136" t="n">
        <f aca="false">AB28+1</f>
        <v>23</v>
      </c>
    </row>
    <row r="30" customFormat="false" ht="12.75" hidden="false" customHeight="false" outlineLevel="0" collapsed="false">
      <c r="A30" s="37"/>
      <c r="B30" s="39" t="str">
        <f aca="false">Assm!A48</f>
        <v>Operating Insurance</v>
      </c>
      <c r="C30" s="311" t="s">
        <v>235</v>
      </c>
      <c r="D30" s="39"/>
      <c r="E30" s="306" t="n">
        <f aca="false">Assm!$E48*E$9/12*E$12</f>
        <v>0</v>
      </c>
      <c r="F30" s="306" t="n">
        <f aca="false">Assm!$E48*F$9/12*F$12</f>
        <v>0</v>
      </c>
      <c r="G30" s="306" t="n">
        <f aca="false">Assm!$E48*G$9/12*G$12</f>
        <v>339.061726219641</v>
      </c>
      <c r="H30" s="306" t="n">
        <f aca="false">Assm!$E48*H$9/12*H$12</f>
        <v>419.857058127672</v>
      </c>
      <c r="I30" s="306" t="n">
        <f aca="false">Assm!$E48*I$9/12*I$12</f>
        <v>432.501222963657</v>
      </c>
      <c r="J30" s="306" t="n">
        <f aca="false">Assm!$E48*J$9/12*J$12</f>
        <v>445.132745731008</v>
      </c>
      <c r="K30" s="306" t="n">
        <f aca="false">Assm!$E48*K$9/12*K$12</f>
        <v>457.842633972058</v>
      </c>
      <c r="L30" s="306" t="n">
        <f aca="false">Assm!$E48*L$9/12*L$12</f>
        <v>470.661697466012</v>
      </c>
      <c r="M30" s="306" t="n">
        <f aca="false">Assm!$E48*M$9/12*M$12</f>
        <v>483.531790697147</v>
      </c>
      <c r="N30" s="306" t="n">
        <f aca="false">Assm!$E48*N$9/12*N$12</f>
        <v>496.467738714549</v>
      </c>
      <c r="O30" s="306" t="n">
        <f aca="false">Assm!$E48*O$9/12*O$12</f>
        <v>509.510498410774</v>
      </c>
      <c r="P30" s="306" t="n">
        <f aca="false">Assm!$E48*P$9/12*P$12</f>
        <v>522.676538713351</v>
      </c>
      <c r="Q30" s="306" t="n">
        <f aca="false">Assm!$E48*Q$9/12*Q$12</f>
        <v>535.992607608793</v>
      </c>
      <c r="R30" s="306" t="n">
        <f aca="false">Assm!$E48*R$9/12*R$12</f>
        <v>549.507977887447</v>
      </c>
      <c r="S30" s="306" t="n">
        <f aca="false">Assm!$E48*S$9/12*S$12</f>
        <v>563.303855243127</v>
      </c>
      <c r="T30" s="306" t="n">
        <f aca="false">Assm!$E48*T$9/12*T$12</f>
        <v>577.539182257308</v>
      </c>
      <c r="U30" s="306" t="n">
        <f aca="false">Assm!$E48*U$9/12*U$12</f>
        <v>592.347615562288</v>
      </c>
      <c r="V30" s="306" t="n">
        <f aca="false">Assm!$E48*V$9/12*V$12</f>
        <v>607.794064635706</v>
      </c>
      <c r="W30" s="306" t="n">
        <f aca="false">Assm!$E48*W$9/12*W$12</f>
        <v>623.948887572519</v>
      </c>
      <c r="X30" s="306" t="n">
        <f aca="false">Assm!$E48*X$9/12*X$12</f>
        <v>640.809550256295</v>
      </c>
      <c r="Y30" s="306" t="n">
        <f aca="false">Assm!$E48*Y$9/12*Y$12</f>
        <v>219.46516134629</v>
      </c>
      <c r="Z30" s="307" t="n">
        <f aca="false">SUM(E30:Y30)</f>
        <v>9487.95255338564</v>
      </c>
      <c r="AB30" s="136" t="n">
        <f aca="false">AB29+1</f>
        <v>24</v>
      </c>
    </row>
    <row r="31" customFormat="false" ht="12.75" hidden="false" customHeight="false" outlineLevel="0" collapsed="false">
      <c r="A31" s="37"/>
      <c r="B31" s="38" t="s">
        <v>334</v>
      </c>
      <c r="C31" s="54"/>
      <c r="D31" s="39"/>
      <c r="E31" s="308" t="n">
        <f aca="false">SUM(E22:E30)*[1]RAROC!D83</f>
        <v>0</v>
      </c>
      <c r="F31" s="308" t="n">
        <f aca="false">SUM(F22:F30)*[1]RAROC!E83</f>
        <v>0</v>
      </c>
      <c r="G31" s="308" t="n">
        <f aca="false">SUM(G22:G30)*[1]RAROC!F83</f>
        <v>1575.8841781543</v>
      </c>
      <c r="H31" s="308" t="n">
        <f aca="false">SUM(H22:H30)*[1]RAROC!G83</f>
        <v>1966.00833410082</v>
      </c>
      <c r="I31" s="308" t="n">
        <f aca="false">SUM(I22:I30)*[1]RAROC!H83</f>
        <v>2891.1836005212</v>
      </c>
      <c r="J31" s="308" t="n">
        <f aca="false">SUM(J22:J30)*[1]RAROC!I83</f>
        <v>2473.14791328121</v>
      </c>
      <c r="K31" s="308" t="n">
        <f aca="false">SUM(K22:K30)*[1]RAROC!J83</f>
        <v>2095.11068913417</v>
      </c>
      <c r="L31" s="308" t="n">
        <f aca="false">SUM(L22:L30)*[1]RAROC!K83</f>
        <v>2245.78770627717</v>
      </c>
      <c r="M31" s="308" t="n">
        <f aca="false">SUM(M22:M30)*[1]RAROC!L83</f>
        <v>2238.74348089866</v>
      </c>
      <c r="N31" s="308" t="n">
        <f aca="false">SUM(N22:N30)*[1]RAROC!M83</f>
        <v>2515.51901165487</v>
      </c>
      <c r="O31" s="308" t="n">
        <f aca="false">SUM(O22:O30)*[1]RAROC!N83</f>
        <v>2331.54540935923</v>
      </c>
      <c r="P31" s="308" t="n">
        <f aca="false">SUM(P22:P30)*[1]RAROC!O83</f>
        <v>2475.65641926514</v>
      </c>
      <c r="Q31" s="308" t="n">
        <f aca="false">SUM(Q22:Q30)*[1]RAROC!P83</f>
        <v>2452.72885959898</v>
      </c>
      <c r="R31" s="308" t="n">
        <f aca="false">SUM(R22:R30)*[1]RAROC!Q83</f>
        <v>2514.57586692714</v>
      </c>
      <c r="S31" s="308" t="n">
        <f aca="false">SUM(S22:S30)*[1]RAROC!R83</f>
        <v>3795.95307713864</v>
      </c>
      <c r="T31" s="308" t="n">
        <f aca="false">SUM(T22:T30)*[1]RAROC!S83</f>
        <v>2755.75939658972</v>
      </c>
      <c r="U31" s="308" t="n">
        <f aca="false">SUM(U22:U30)*[1]RAROC!T83</f>
        <v>2710.6121819215</v>
      </c>
      <c r="V31" s="308" t="n">
        <f aca="false">SUM(V22:V30)*[1]RAROC!U83</f>
        <v>2814.07557085391</v>
      </c>
      <c r="W31" s="308" t="n">
        <f aca="false">SUM(W22:W30)*[1]RAROC!V83</f>
        <v>2855.22117607409</v>
      </c>
      <c r="X31" s="308" t="n">
        <f aca="false">SUM(X22:X30)*[1]RAROC!W83</f>
        <v>2909.9122347555</v>
      </c>
      <c r="Y31" s="308" t="n">
        <f aca="false">SUM(Y22:Y30)*[1]RAROC!X83</f>
        <v>996.589950709594</v>
      </c>
      <c r="Z31" s="309" t="n">
        <f aca="false">SUM(E31:Y31)</f>
        <v>46614.0150572159</v>
      </c>
      <c r="AB31" s="136" t="n">
        <f aca="false">AB30+1</f>
        <v>25</v>
      </c>
    </row>
    <row r="32" customFormat="false" ht="12.75" hidden="false" customHeight="false" outlineLevel="0" collapsed="false">
      <c r="A32" s="37"/>
      <c r="B32" s="39" t="s">
        <v>335</v>
      </c>
      <c r="C32" s="299" t="n">
        <f aca="false">Wh_Serv/(1-Wh_Serv)</f>
        <v>0.176470588235294</v>
      </c>
      <c r="D32" s="39"/>
      <c r="E32" s="61" t="n">
        <f aca="false">SUM(E28,E30)*$C32</f>
        <v>0</v>
      </c>
      <c r="F32" s="61" t="n">
        <f aca="false">SUM(F28,F30)*$C32</f>
        <v>0</v>
      </c>
      <c r="G32" s="61" t="n">
        <f aca="false">SUM(G28,G30)*$C32</f>
        <v>87.1529288485634</v>
      </c>
      <c r="H32" s="61" t="n">
        <f aca="false">SUM(H28,H30)*$C32</f>
        <v>107.920680760837</v>
      </c>
      <c r="I32" s="61" t="n">
        <f aca="false">SUM(I28,I30)*$C32</f>
        <v>111.170755638313</v>
      </c>
      <c r="J32" s="61" t="n">
        <f aca="false">SUM(J28,J30)*$C32</f>
        <v>114.417580979722</v>
      </c>
      <c r="K32" s="61" t="n">
        <f aca="false">SUM(K28,K30)*$C32</f>
        <v>117.684549498687</v>
      </c>
      <c r="L32" s="61" t="n">
        <f aca="false">SUM(L28,L30)*$C32</f>
        <v>120.979580586537</v>
      </c>
      <c r="M32" s="61" t="n">
        <f aca="false">SUM(M28,M30)*$C32</f>
        <v>124.287728433696</v>
      </c>
      <c r="N32" s="61" t="n">
        <f aca="false">SUM(N28,N30)*$C32</f>
        <v>127.612803692763</v>
      </c>
      <c r="O32" s="61" t="n">
        <f aca="false">SUM(O28,O30)*$C32</f>
        <v>130.965333984128</v>
      </c>
      <c r="P32" s="61" t="n">
        <f aca="false">SUM(P28,P30)*$C32</f>
        <v>134.349552505344</v>
      </c>
      <c r="Q32" s="61" t="n">
        <f aca="false">SUM(Q28,Q30)*$C32</f>
        <v>137.772334598523</v>
      </c>
      <c r="R32" s="61" t="n">
        <f aca="false">SUM(R28,R30)*$C32</f>
        <v>141.246345414755</v>
      </c>
      <c r="S32" s="61" t="n">
        <f aca="false">SUM(S28,S30)*$C32</f>
        <v>144.792458185986</v>
      </c>
      <c r="T32" s="61" t="n">
        <f aca="false">SUM(T28,T30)*$C32</f>
        <v>148.451527749029</v>
      </c>
      <c r="U32" s="61" t="n">
        <f aca="false">SUM(U28,U30)*$C32</f>
        <v>152.257909402827</v>
      </c>
      <c r="V32" s="61" t="n">
        <f aca="false">SUM(V28,V30)*$C32</f>
        <v>156.228287575758</v>
      </c>
      <c r="W32" s="61" t="n">
        <f aca="false">SUM(W28,W30)*$C32</f>
        <v>160.380747216871</v>
      </c>
      <c r="X32" s="61" t="n">
        <f aca="false">SUM(X28,X30)*$C32</f>
        <v>164.714636953121</v>
      </c>
      <c r="Y32" s="61" t="n">
        <f aca="false">SUM(Y28,Y30)*$C32</f>
        <v>56.4116504826657</v>
      </c>
      <c r="Z32" s="304" t="n">
        <f aca="false">SUM(E32:Y32)</f>
        <v>2438.79739250813</v>
      </c>
      <c r="AB32" s="136" t="n">
        <f aca="false">AB31+1</f>
        <v>26</v>
      </c>
    </row>
    <row r="33" customFormat="false" ht="12.75" hidden="false" customHeight="false" outlineLevel="0" collapsed="false">
      <c r="A33" s="37"/>
      <c r="B33" s="39" t="s">
        <v>336</v>
      </c>
      <c r="C33" s="299" t="n">
        <f aca="false">(Pis+Cofins)/(1-(Pis+Cofins))</f>
        <v>0.0378827192527244</v>
      </c>
      <c r="D33" s="39"/>
      <c r="E33" s="306" t="n">
        <f aca="false">SUM(E31:E32)*$C33</f>
        <v>0</v>
      </c>
      <c r="F33" s="306" t="n">
        <f aca="false">SUM(F31:F32)*$C33</f>
        <v>0</v>
      </c>
      <c r="G33" s="306" t="n">
        <f aca="false">SUM(G31:G32)*$C33</f>
        <v>63.0003678314526</v>
      </c>
      <c r="H33" s="306" t="n">
        <f aca="false">SUM(H31:H32)*$C33</f>
        <v>78.5660706200834</v>
      </c>
      <c r="I33" s="306" t="n">
        <f aca="false">SUM(I31:I32)*$C33</f>
        <v>113.737347171585</v>
      </c>
      <c r="J33" s="306" t="n">
        <f aca="false">SUM(J31:J32)*$C33</f>
        <v>98.0240171671242</v>
      </c>
      <c r="K33" s="306" t="n">
        <f aca="false">SUM(K31:K32)*$C33</f>
        <v>83.826700788894</v>
      </c>
      <c r="L33" s="306" t="n">
        <f aca="false">SUM(L31:L32)*$C33</f>
        <v>89.6595806647901</v>
      </c>
      <c r="M33" s="306" t="n">
        <f aca="false">SUM(M31:M32)*$C33</f>
        <v>89.5180478885637</v>
      </c>
      <c r="N33" s="306" t="n">
        <f aca="false">SUM(N31:N32)*$C33</f>
        <v>100.129020508758</v>
      </c>
      <c r="O33" s="306" t="n">
        <f aca="false">SUM(O31:O32)*$C33</f>
        <v>93.2866031468943</v>
      </c>
      <c r="P33" s="306" t="n">
        <f aca="false">SUM(P31:P32)*$C33</f>
        <v>98.8741234765155</v>
      </c>
      <c r="Q33" s="306" t="n">
        <f aca="false">SUM(Q31:Q32)*$C33</f>
        <v>98.1352294636314</v>
      </c>
      <c r="R33" s="306" t="n">
        <f aca="false">SUM(R31:R32)*$C33</f>
        <v>100.609767255298</v>
      </c>
      <c r="S33" s="306" t="n">
        <f aca="false">SUM(S31:S32)*$C33</f>
        <v>149.28615676113</v>
      </c>
      <c r="T33" s="306" t="n">
        <f aca="false">SUM(T31:T32)*$C33</f>
        <v>110.01940709742</v>
      </c>
      <c r="U33" s="306" t="n">
        <f aca="false">SUM(U31:U32)*$C33</f>
        <v>108.453303926661</v>
      </c>
      <c r="V33" s="306" t="n">
        <f aca="false">SUM(V31:V32)*$C33</f>
        <v>112.523187164175</v>
      </c>
      <c r="W33" s="306" t="n">
        <f aca="false">SUM(W31:W32)*$C33</f>
        <v>114.239201038007</v>
      </c>
      <c r="X33" s="306" t="n">
        <f aca="false">SUM(X31:X32)*$C33</f>
        <v>116.47522658782</v>
      </c>
      <c r="Y33" s="306" t="n">
        <f aca="false">SUM(Y31:Y32)*$C33</f>
        <v>39.8905640306357</v>
      </c>
      <c r="Z33" s="307" t="n">
        <f aca="false">SUM(E33:Y33)</f>
        <v>1858.25392258944</v>
      </c>
      <c r="AB33" s="136" t="n">
        <f aca="false">AB32+1</f>
        <v>27</v>
      </c>
    </row>
    <row r="34" customFormat="false" ht="12.75" hidden="false" customHeight="false" outlineLevel="0" collapsed="false">
      <c r="A34" s="37"/>
      <c r="B34" s="38" t="s">
        <v>337</v>
      </c>
      <c r="C34" s="38"/>
      <c r="D34" s="39"/>
      <c r="E34" s="308" t="n">
        <f aca="false">SUM(E31:E33)</f>
        <v>0</v>
      </c>
      <c r="F34" s="308" t="n">
        <f aca="false">SUM(F31:F33)</f>
        <v>0</v>
      </c>
      <c r="G34" s="308" t="n">
        <f aca="false">SUM(G31:G33)</f>
        <v>1726.03747483432</v>
      </c>
      <c r="H34" s="308" t="n">
        <f aca="false">SUM(H31:H33)</f>
        <v>2152.49508548174</v>
      </c>
      <c r="I34" s="308" t="n">
        <f aca="false">SUM(I31:I33)</f>
        <v>3116.0917033311</v>
      </c>
      <c r="J34" s="308" t="n">
        <f aca="false">SUM(J31:J33)</f>
        <v>2685.58951142806</v>
      </c>
      <c r="K34" s="308" t="n">
        <f aca="false">SUM(K31:K33)</f>
        <v>2296.62193942175</v>
      </c>
      <c r="L34" s="308" t="n">
        <f aca="false">SUM(L31:L33)</f>
        <v>2456.4268675285</v>
      </c>
      <c r="M34" s="308" t="n">
        <f aca="false">SUM(M31:M33)</f>
        <v>2452.54925722092</v>
      </c>
      <c r="N34" s="308" t="n">
        <f aca="false">SUM(N31:N33)</f>
        <v>2743.26083585639</v>
      </c>
      <c r="O34" s="308" t="n">
        <f aca="false">SUM(O31:O33)</f>
        <v>2555.79734649026</v>
      </c>
      <c r="P34" s="308" t="n">
        <f aca="false">SUM(P31:P33)</f>
        <v>2708.880095247</v>
      </c>
      <c r="Q34" s="308" t="n">
        <f aca="false">SUM(Q31:Q33)</f>
        <v>2688.63642366113</v>
      </c>
      <c r="R34" s="308" t="n">
        <f aca="false">SUM(R31:R33)</f>
        <v>2756.43197959719</v>
      </c>
      <c r="S34" s="308" t="n">
        <f aca="false">SUM(S31:S33)</f>
        <v>4090.03169208576</v>
      </c>
      <c r="T34" s="308" t="n">
        <f aca="false">SUM(T31:T33)</f>
        <v>3014.23033143617</v>
      </c>
      <c r="U34" s="308" t="n">
        <f aca="false">SUM(U31:U33)</f>
        <v>2971.32339525099</v>
      </c>
      <c r="V34" s="308" t="n">
        <f aca="false">SUM(V31:V33)</f>
        <v>3082.82704559384</v>
      </c>
      <c r="W34" s="308" t="n">
        <f aca="false">SUM(W31:W33)</f>
        <v>3129.84112432897</v>
      </c>
      <c r="X34" s="308" t="n">
        <f aca="false">SUM(X31:X33)</f>
        <v>3191.10209829644</v>
      </c>
      <c r="Y34" s="308" t="n">
        <f aca="false">SUM(Y31:Y33)</f>
        <v>1092.8921652229</v>
      </c>
      <c r="Z34" s="309" t="n">
        <f aca="false">SUM(E34:Y34)</f>
        <v>50911.0663723134</v>
      </c>
      <c r="AB34" s="136" t="n">
        <f aca="false">AB33+1</f>
        <v>28</v>
      </c>
    </row>
    <row r="35" customFormat="false" ht="12.75" hidden="false" customHeight="false" outlineLevel="0" collapsed="false">
      <c r="A35" s="303"/>
      <c r="B35" s="38"/>
      <c r="C35" s="39"/>
      <c r="D35" s="39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304"/>
      <c r="AA35" s="312"/>
      <c r="AB35" s="136" t="n">
        <f aca="false">AB34+1</f>
        <v>29</v>
      </c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2"/>
      <c r="AP35" s="312"/>
      <c r="AQ35" s="312"/>
      <c r="AR35" s="312"/>
      <c r="AS35" s="312"/>
      <c r="AT35" s="312"/>
      <c r="AU35" s="312"/>
      <c r="AV35" s="312"/>
      <c r="AW35" s="312"/>
      <c r="AX35" s="312"/>
      <c r="AY35" s="312"/>
      <c r="AZ35" s="312"/>
      <c r="BA35" s="312"/>
      <c r="BB35" s="312"/>
      <c r="BC35" s="312"/>
      <c r="BD35" s="312"/>
      <c r="BE35" s="312"/>
      <c r="BF35" s="312"/>
      <c r="BG35" s="312"/>
      <c r="BH35" s="312"/>
      <c r="BI35" s="312"/>
      <c r="BJ35" s="312"/>
      <c r="BK35" s="312"/>
      <c r="BL35" s="312"/>
      <c r="BM35" s="312"/>
      <c r="BN35" s="312"/>
      <c r="BO35" s="312"/>
      <c r="BP35" s="312"/>
      <c r="BQ35" s="312"/>
      <c r="BR35" s="312"/>
      <c r="BS35" s="312"/>
      <c r="BT35" s="312"/>
      <c r="BU35" s="312"/>
      <c r="BV35" s="312"/>
      <c r="BW35" s="312"/>
      <c r="BX35" s="312"/>
      <c r="BY35" s="312"/>
      <c r="BZ35" s="312"/>
      <c r="CA35" s="312"/>
      <c r="CB35" s="312"/>
      <c r="CC35" s="312"/>
      <c r="CD35" s="312"/>
      <c r="CE35" s="312"/>
      <c r="CF35" s="312"/>
      <c r="CG35" s="312"/>
      <c r="CH35" s="312"/>
      <c r="CI35" s="312"/>
      <c r="CJ35" s="312"/>
      <c r="CK35" s="312"/>
      <c r="CL35" s="312"/>
      <c r="CM35" s="312"/>
      <c r="CN35" s="312"/>
      <c r="CO35" s="312"/>
      <c r="CP35" s="312"/>
      <c r="CQ35" s="312"/>
      <c r="CR35" s="312"/>
      <c r="CS35" s="312"/>
      <c r="CT35" s="312"/>
      <c r="CU35" s="312"/>
      <c r="CV35" s="312"/>
      <c r="CW35" s="312"/>
      <c r="CX35" s="312"/>
      <c r="CY35" s="312"/>
      <c r="CZ35" s="312"/>
      <c r="DA35" s="312"/>
      <c r="DB35" s="312"/>
      <c r="DC35" s="312"/>
      <c r="DD35" s="312"/>
      <c r="DE35" s="312"/>
      <c r="DF35" s="312"/>
      <c r="DG35" s="312"/>
      <c r="DH35" s="312"/>
      <c r="DI35" s="312"/>
      <c r="DJ35" s="312"/>
      <c r="DK35" s="312"/>
      <c r="DL35" s="312"/>
      <c r="DM35" s="312"/>
      <c r="DN35" s="312"/>
      <c r="DO35" s="312"/>
      <c r="DP35" s="312"/>
      <c r="DQ35" s="312"/>
      <c r="DR35" s="312"/>
      <c r="DS35" s="312"/>
      <c r="DT35" s="312"/>
      <c r="DU35" s="312"/>
      <c r="DV35" s="312"/>
      <c r="DW35" s="312"/>
      <c r="DX35" s="312"/>
      <c r="DY35" s="312"/>
      <c r="DZ35" s="312"/>
      <c r="EA35" s="312"/>
      <c r="EB35" s="312"/>
      <c r="EC35" s="312"/>
      <c r="ED35" s="312"/>
      <c r="EE35" s="312"/>
      <c r="EF35" s="312"/>
      <c r="EG35" s="312"/>
      <c r="EH35" s="312"/>
      <c r="EI35" s="312"/>
      <c r="EJ35" s="312"/>
      <c r="EK35" s="312"/>
      <c r="EL35" s="312"/>
      <c r="EM35" s="312"/>
      <c r="EN35" s="312"/>
      <c r="EO35" s="312"/>
      <c r="EP35" s="312"/>
      <c r="EQ35" s="312"/>
      <c r="ER35" s="312"/>
      <c r="ES35" s="312"/>
      <c r="ET35" s="312"/>
      <c r="EU35" s="312"/>
      <c r="EV35" s="312"/>
      <c r="EW35" s="312"/>
      <c r="EX35" s="312"/>
      <c r="EY35" s="312"/>
      <c r="EZ35" s="312"/>
      <c r="FA35" s="312"/>
      <c r="FB35" s="312"/>
      <c r="FC35" s="312"/>
      <c r="FD35" s="312"/>
      <c r="FE35" s="312"/>
      <c r="FF35" s="312"/>
      <c r="FG35" s="312"/>
      <c r="FH35" s="312"/>
      <c r="FI35" s="312"/>
      <c r="FJ35" s="312"/>
      <c r="FK35" s="312"/>
      <c r="FL35" s="312"/>
      <c r="FM35" s="312"/>
      <c r="FN35" s="312"/>
      <c r="FO35" s="312"/>
      <c r="FP35" s="312"/>
      <c r="FQ35" s="312"/>
      <c r="FR35" s="312"/>
      <c r="FS35" s="312"/>
      <c r="FT35" s="312"/>
      <c r="FU35" s="312"/>
      <c r="FV35" s="312"/>
      <c r="FW35" s="312"/>
      <c r="FX35" s="312"/>
      <c r="FY35" s="312"/>
      <c r="FZ35" s="312"/>
      <c r="GA35" s="312"/>
      <c r="GB35" s="312"/>
      <c r="GC35" s="312"/>
      <c r="GD35" s="312"/>
      <c r="GE35" s="312"/>
      <c r="GF35" s="312"/>
      <c r="GG35" s="312"/>
      <c r="GH35" s="312"/>
      <c r="GI35" s="312"/>
      <c r="GJ35" s="312"/>
      <c r="GK35" s="312"/>
      <c r="GL35" s="312"/>
      <c r="GM35" s="312"/>
      <c r="GN35" s="312"/>
      <c r="GO35" s="312"/>
      <c r="GP35" s="312"/>
      <c r="GQ35" s="312"/>
      <c r="GR35" s="312"/>
      <c r="GS35" s="312"/>
      <c r="GT35" s="312"/>
      <c r="GU35" s="312"/>
      <c r="GV35" s="312"/>
      <c r="GW35" s="312"/>
      <c r="GX35" s="312"/>
      <c r="GY35" s="312"/>
      <c r="GZ35" s="312"/>
      <c r="HA35" s="312"/>
      <c r="HB35" s="312"/>
      <c r="HC35" s="312"/>
      <c r="HD35" s="312"/>
      <c r="HE35" s="312"/>
      <c r="HF35" s="312"/>
      <c r="HG35" s="312"/>
      <c r="HH35" s="312"/>
      <c r="HI35" s="312"/>
      <c r="HJ35" s="312"/>
      <c r="HK35" s="312"/>
      <c r="HL35" s="312"/>
      <c r="HM35" s="312"/>
      <c r="HN35" s="312"/>
      <c r="HO35" s="312"/>
      <c r="HP35" s="312"/>
      <c r="HQ35" s="312"/>
      <c r="HR35" s="312"/>
      <c r="HS35" s="312"/>
      <c r="HT35" s="312"/>
      <c r="HU35" s="312"/>
      <c r="HV35" s="312"/>
      <c r="HW35" s="312"/>
      <c r="HX35" s="312"/>
      <c r="HY35" s="312"/>
      <c r="HZ35" s="312"/>
      <c r="IA35" s="312"/>
      <c r="IB35" s="312"/>
      <c r="IC35" s="312"/>
      <c r="ID35" s="312"/>
      <c r="IE35" s="312"/>
      <c r="IF35" s="312"/>
      <c r="IG35" s="312"/>
      <c r="IH35" s="312"/>
      <c r="II35" s="312"/>
      <c r="IJ35" s="312"/>
      <c r="IK35" s="312"/>
      <c r="IL35" s="312"/>
      <c r="IM35" s="312"/>
      <c r="IN35" s="312"/>
      <c r="IO35" s="312"/>
      <c r="IP35" s="312"/>
      <c r="IQ35" s="312"/>
      <c r="IR35" s="312"/>
      <c r="IS35" s="312"/>
      <c r="IT35" s="312"/>
      <c r="IU35" s="312"/>
      <c r="IV35" s="312"/>
      <c r="IW35" s="312"/>
    </row>
    <row r="36" customFormat="false" ht="12.75" hidden="false" customHeight="false" outlineLevel="0" collapsed="false">
      <c r="A36" s="303" t="s">
        <v>338</v>
      </c>
      <c r="B36" s="38"/>
      <c r="C36" s="38"/>
      <c r="D36" s="39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304"/>
      <c r="AA36" s="312"/>
      <c r="AB36" s="136" t="n">
        <f aca="false">AB35+1</f>
        <v>30</v>
      </c>
      <c r="AC36" s="312"/>
      <c r="AD36" s="312"/>
      <c r="AE36" s="312"/>
      <c r="AF36" s="312"/>
      <c r="AG36" s="312"/>
      <c r="AH36" s="312"/>
      <c r="AI36" s="312"/>
      <c r="AJ36" s="312"/>
      <c r="AK36" s="312"/>
      <c r="AL36" s="312"/>
      <c r="AM36" s="312"/>
      <c r="AN36" s="312"/>
      <c r="AO36" s="312"/>
      <c r="AP36" s="312"/>
      <c r="AQ36" s="312"/>
      <c r="AR36" s="312"/>
      <c r="AS36" s="312"/>
      <c r="AT36" s="312"/>
      <c r="AU36" s="312"/>
      <c r="AV36" s="312"/>
      <c r="AW36" s="312"/>
      <c r="AX36" s="312"/>
      <c r="AY36" s="312"/>
      <c r="AZ36" s="312"/>
      <c r="BA36" s="312"/>
      <c r="BB36" s="312"/>
      <c r="BC36" s="312"/>
      <c r="BD36" s="312"/>
      <c r="BE36" s="312"/>
      <c r="BF36" s="312"/>
      <c r="BG36" s="312"/>
      <c r="BH36" s="312"/>
      <c r="BI36" s="312"/>
      <c r="BJ36" s="312"/>
      <c r="BK36" s="312"/>
      <c r="BL36" s="312"/>
      <c r="BM36" s="312"/>
      <c r="BN36" s="312"/>
      <c r="BO36" s="312"/>
      <c r="BP36" s="312"/>
      <c r="BQ36" s="312"/>
      <c r="BR36" s="312"/>
      <c r="BS36" s="312"/>
      <c r="BT36" s="312"/>
      <c r="BU36" s="312"/>
      <c r="BV36" s="312"/>
      <c r="BW36" s="312"/>
      <c r="BX36" s="312"/>
      <c r="BY36" s="312"/>
      <c r="BZ36" s="312"/>
      <c r="CA36" s="312"/>
      <c r="CB36" s="312"/>
      <c r="CC36" s="312"/>
      <c r="CD36" s="312"/>
      <c r="CE36" s="312"/>
      <c r="CF36" s="312"/>
      <c r="CG36" s="312"/>
      <c r="CH36" s="312"/>
      <c r="CI36" s="312"/>
      <c r="CJ36" s="312"/>
      <c r="CK36" s="312"/>
      <c r="CL36" s="312"/>
      <c r="CM36" s="312"/>
      <c r="CN36" s="312"/>
      <c r="CO36" s="312"/>
      <c r="CP36" s="312"/>
      <c r="CQ36" s="312"/>
      <c r="CR36" s="312"/>
      <c r="CS36" s="312"/>
      <c r="CT36" s="312"/>
      <c r="CU36" s="312"/>
      <c r="CV36" s="312"/>
      <c r="CW36" s="312"/>
      <c r="CX36" s="312"/>
      <c r="CY36" s="312"/>
      <c r="CZ36" s="312"/>
      <c r="DA36" s="312"/>
      <c r="DB36" s="312"/>
      <c r="DC36" s="312"/>
      <c r="DD36" s="312"/>
      <c r="DE36" s="312"/>
      <c r="DF36" s="312"/>
      <c r="DG36" s="312"/>
      <c r="DH36" s="312"/>
      <c r="DI36" s="312"/>
      <c r="DJ36" s="312"/>
      <c r="DK36" s="312"/>
      <c r="DL36" s="312"/>
      <c r="DM36" s="312"/>
      <c r="DN36" s="312"/>
      <c r="DO36" s="312"/>
      <c r="DP36" s="312"/>
      <c r="DQ36" s="312"/>
      <c r="DR36" s="312"/>
      <c r="DS36" s="312"/>
      <c r="DT36" s="312"/>
      <c r="DU36" s="312"/>
      <c r="DV36" s="312"/>
      <c r="DW36" s="312"/>
      <c r="DX36" s="312"/>
      <c r="DY36" s="312"/>
      <c r="DZ36" s="312"/>
      <c r="EA36" s="312"/>
      <c r="EB36" s="312"/>
      <c r="EC36" s="312"/>
      <c r="ED36" s="312"/>
      <c r="EE36" s="312"/>
      <c r="EF36" s="312"/>
      <c r="EG36" s="312"/>
      <c r="EH36" s="312"/>
      <c r="EI36" s="312"/>
      <c r="EJ36" s="312"/>
      <c r="EK36" s="312"/>
      <c r="EL36" s="312"/>
      <c r="EM36" s="312"/>
      <c r="EN36" s="312"/>
      <c r="EO36" s="312"/>
      <c r="EP36" s="312"/>
      <c r="EQ36" s="312"/>
      <c r="ER36" s="312"/>
      <c r="ES36" s="312"/>
      <c r="ET36" s="312"/>
      <c r="EU36" s="312"/>
      <c r="EV36" s="312"/>
      <c r="EW36" s="312"/>
      <c r="EX36" s="312"/>
      <c r="EY36" s="312"/>
      <c r="EZ36" s="312"/>
      <c r="FA36" s="312"/>
      <c r="FB36" s="312"/>
      <c r="FC36" s="312"/>
      <c r="FD36" s="312"/>
      <c r="FE36" s="312"/>
      <c r="FF36" s="312"/>
      <c r="FG36" s="312"/>
      <c r="FH36" s="312"/>
      <c r="FI36" s="312"/>
      <c r="FJ36" s="312"/>
      <c r="FK36" s="312"/>
      <c r="FL36" s="312"/>
      <c r="FM36" s="312"/>
      <c r="FN36" s="312"/>
      <c r="FO36" s="312"/>
      <c r="FP36" s="312"/>
      <c r="FQ36" s="312"/>
      <c r="FR36" s="312"/>
      <c r="FS36" s="312"/>
      <c r="FT36" s="312"/>
      <c r="FU36" s="312"/>
      <c r="FV36" s="312"/>
      <c r="FW36" s="312"/>
      <c r="FX36" s="312"/>
      <c r="FY36" s="312"/>
      <c r="FZ36" s="312"/>
      <c r="GA36" s="312"/>
      <c r="GB36" s="312"/>
      <c r="GC36" s="312"/>
      <c r="GD36" s="312"/>
      <c r="GE36" s="312"/>
      <c r="GF36" s="312"/>
      <c r="GG36" s="312"/>
      <c r="GH36" s="312"/>
      <c r="GI36" s="312"/>
      <c r="GJ36" s="312"/>
      <c r="GK36" s="312"/>
      <c r="GL36" s="312"/>
      <c r="GM36" s="312"/>
      <c r="GN36" s="312"/>
      <c r="GO36" s="312"/>
      <c r="GP36" s="312"/>
      <c r="GQ36" s="312"/>
      <c r="GR36" s="312"/>
      <c r="GS36" s="312"/>
      <c r="GT36" s="312"/>
      <c r="GU36" s="312"/>
      <c r="GV36" s="312"/>
      <c r="GW36" s="312"/>
      <c r="GX36" s="312"/>
      <c r="GY36" s="312"/>
      <c r="GZ36" s="312"/>
      <c r="HA36" s="312"/>
      <c r="HB36" s="312"/>
      <c r="HC36" s="312"/>
      <c r="HD36" s="312"/>
      <c r="HE36" s="312"/>
      <c r="HF36" s="312"/>
      <c r="HG36" s="312"/>
      <c r="HH36" s="312"/>
      <c r="HI36" s="312"/>
      <c r="HJ36" s="312"/>
      <c r="HK36" s="312"/>
      <c r="HL36" s="312"/>
      <c r="HM36" s="312"/>
      <c r="HN36" s="312"/>
      <c r="HO36" s="312"/>
      <c r="HP36" s="312"/>
      <c r="HQ36" s="312"/>
      <c r="HR36" s="312"/>
      <c r="HS36" s="312"/>
      <c r="HT36" s="312"/>
      <c r="HU36" s="312"/>
      <c r="HV36" s="312"/>
      <c r="HW36" s="312"/>
      <c r="HX36" s="312"/>
      <c r="HY36" s="312"/>
      <c r="HZ36" s="312"/>
      <c r="IA36" s="312"/>
      <c r="IB36" s="312"/>
      <c r="IC36" s="312"/>
      <c r="ID36" s="312"/>
      <c r="IE36" s="312"/>
      <c r="IF36" s="312"/>
      <c r="IG36" s="312"/>
      <c r="IH36" s="312"/>
      <c r="II36" s="312"/>
      <c r="IJ36" s="312"/>
      <c r="IK36" s="312"/>
      <c r="IL36" s="312"/>
      <c r="IM36" s="312"/>
      <c r="IN36" s="312"/>
      <c r="IO36" s="312"/>
      <c r="IP36" s="312"/>
      <c r="IQ36" s="312"/>
      <c r="IR36" s="312"/>
      <c r="IS36" s="312"/>
      <c r="IT36" s="312"/>
      <c r="IU36" s="312"/>
      <c r="IV36" s="312"/>
      <c r="IW36" s="312"/>
    </row>
    <row r="37" customFormat="false" ht="12.75" hidden="false" customHeight="false" outlineLevel="0" collapsed="false">
      <c r="A37" s="313"/>
      <c r="B37" s="314" t="s">
        <v>339</v>
      </c>
      <c r="C37" s="315"/>
      <c r="D37" s="314"/>
      <c r="E37" s="316" t="n">
        <f aca="false">Trapped!F39</f>
        <v>0</v>
      </c>
      <c r="F37" s="316" t="n">
        <f aca="false">Trapped!G39</f>
        <v>0</v>
      </c>
      <c r="G37" s="316" t="n">
        <f aca="false">Trapped!H39</f>
        <v>0</v>
      </c>
      <c r="H37" s="316" t="n">
        <f aca="false">Trapped!I39</f>
        <v>20.8605339355598</v>
      </c>
      <c r="I37" s="316" t="n">
        <f aca="false">Trapped!J39</f>
        <v>20.8605339355598</v>
      </c>
      <c r="J37" s="316" t="n">
        <f aca="false">Trapped!K39</f>
        <v>-233.804707553963</v>
      </c>
      <c r="K37" s="316" t="n">
        <f aca="false">Trapped!L39</f>
        <v>-543.211676432129</v>
      </c>
      <c r="L37" s="316" t="n">
        <f aca="false">Trapped!M39</f>
        <v>-790.671706495594</v>
      </c>
      <c r="M37" s="316" t="n">
        <f aca="false">Trapped!N39</f>
        <v>-1056.64185128227</v>
      </c>
      <c r="N37" s="316" t="n">
        <f aca="false">Trapped!O39</f>
        <v>-1328.02243115698</v>
      </c>
      <c r="O37" s="316" t="n">
        <f aca="false">Trapped!P39</f>
        <v>-1580.53684347166</v>
      </c>
      <c r="P37" s="316" t="n">
        <f aca="false">Trapped!Q39</f>
        <v>-1625.13900530859</v>
      </c>
      <c r="Q37" s="316" t="n">
        <f aca="false">Trapped!R39</f>
        <v>-1555.19701036703</v>
      </c>
      <c r="R37" s="316" t="n">
        <f aca="false">Trapped!S39</f>
        <v>-1503.27805194341</v>
      </c>
      <c r="S37" s="316" t="n">
        <f aca="false">Trapped!T39</f>
        <v>-1468.19246913219</v>
      </c>
      <c r="T37" s="316" t="n">
        <f aca="false">Trapped!U39</f>
        <v>-1269.98860381568</v>
      </c>
      <c r="U37" s="316" t="n">
        <f aca="false">Trapped!V39</f>
        <v>-1010.93883778636</v>
      </c>
      <c r="V37" s="316" t="n">
        <f aca="false">Trapped!W39</f>
        <v>-620.683514781294</v>
      </c>
      <c r="W37" s="316" t="n">
        <f aca="false">Trapped!X39</f>
        <v>31.3545300248106</v>
      </c>
      <c r="X37" s="316" t="n">
        <f aca="false">Trapped!Y39</f>
        <v>492.210816046157</v>
      </c>
      <c r="Y37" s="316" t="n">
        <f aca="false">Trapped!Z39</f>
        <v>269.413609218463</v>
      </c>
      <c r="Z37" s="317" t="n">
        <f aca="false">SUM(E37:Y37)</f>
        <v>-13751.6066863666</v>
      </c>
      <c r="AB37" s="136" t="n">
        <f aca="false">AB36+1</f>
        <v>31</v>
      </c>
    </row>
    <row r="38" customFormat="false" ht="12.75" hidden="false" customHeight="false" outlineLevel="0" collapsed="false">
      <c r="A38" s="313"/>
      <c r="B38" s="314" t="s">
        <v>340</v>
      </c>
      <c r="C38" s="315"/>
      <c r="D38" s="314"/>
      <c r="E38" s="316" t="n">
        <f aca="false">IF(E$7=Assm!$F$54,Assm!$F$55*Assm!$C$54,0)</f>
        <v>0</v>
      </c>
      <c r="F38" s="316" t="n">
        <f aca="false">IF(F$7=Assm!$F$54,Assm!$F$55*Assm!$C$54,0)</f>
        <v>0</v>
      </c>
      <c r="G38" s="316" t="n">
        <f aca="false">IF(G$7=Assm!$F$54,Assm!$F$55*Assm!$C$54,0)</f>
        <v>0</v>
      </c>
      <c r="H38" s="316" t="n">
        <f aca="false">IF(H$7=Assm!$F$54,Assm!$F$55*Assm!$C$54,0)</f>
        <v>0</v>
      </c>
      <c r="I38" s="316" t="n">
        <f aca="false">IF(I$7=Assm!$F$54,Assm!$F$55*Assm!$C$54,0)</f>
        <v>0</v>
      </c>
      <c r="J38" s="316" t="n">
        <f aca="false">IF(J$7=Assm!$F$54,Assm!$F$55*Assm!$C$54,0)</f>
        <v>0</v>
      </c>
      <c r="K38" s="316" t="n">
        <f aca="false">IF(K$7=Assm!$F$54,Assm!$F$55*Assm!$C$54,0)</f>
        <v>0</v>
      </c>
      <c r="L38" s="316" t="n">
        <f aca="false">IF(L$7=Assm!$F$54,Assm!$F$55*Assm!$C$54,0)</f>
        <v>0</v>
      </c>
      <c r="M38" s="316" t="n">
        <f aca="false">IF(M$7=Assm!$F$54,Assm!$F$55*Assm!$C$54,0)</f>
        <v>0</v>
      </c>
      <c r="N38" s="316" t="n">
        <f aca="false">IF(N$7=Assm!$F$54,Assm!$F$55*Assm!$C$54,0)</f>
        <v>0</v>
      </c>
      <c r="O38" s="316" t="n">
        <f aca="false">IF(O$7=Assm!$F$54,Assm!$F$55*Assm!$C$54,0)</f>
        <v>0</v>
      </c>
      <c r="P38" s="316" t="n">
        <f aca="false">IF(P$7=Assm!$F$54,Assm!$F$55*Assm!$C$54,0)</f>
        <v>0</v>
      </c>
      <c r="Q38" s="316" t="n">
        <f aca="false">IF(Q$7=Assm!$F$54,Assm!$F$55*Assm!$C$54,0)</f>
        <v>0</v>
      </c>
      <c r="R38" s="316" t="n">
        <f aca="false">IF(R$7=Assm!$F$54,Assm!$F$55*Assm!$C$54,0)</f>
        <v>0</v>
      </c>
      <c r="S38" s="316" t="n">
        <f aca="false">IF(S$7=Assm!$F$54,Assm!$F$55*Assm!$C$54,0)</f>
        <v>0</v>
      </c>
      <c r="T38" s="316" t="n">
        <f aca="false">IF(T$7=Assm!$F$54,Assm!$F$55*Assm!$C$54,0)</f>
        <v>0</v>
      </c>
      <c r="U38" s="316" t="n">
        <f aca="false">IF(U$7=Assm!$F$54,Assm!$F$55*Assm!$C$54,0)</f>
        <v>0</v>
      </c>
      <c r="V38" s="316" t="n">
        <f aca="false">IF(V$7=Assm!$F$54,Assm!$F$55*Assm!$C$54,0)</f>
        <v>0</v>
      </c>
      <c r="W38" s="316" t="n">
        <f aca="false">IF(W$7=Assm!$F$54,Assm!$F$55*Assm!$C$54,0)</f>
        <v>0</v>
      </c>
      <c r="X38" s="316" t="n">
        <f aca="false">IF(X$7=Assm!$F$54,Assm!$F$55*Assm!$C$54,0)</f>
        <v>0</v>
      </c>
      <c r="Y38" s="316" t="n">
        <f aca="false">IF(Y$7=Assm!$F$54,Assm!$F$55*Assm!$C$54,0)</f>
        <v>0</v>
      </c>
      <c r="Z38" s="317" t="n">
        <f aca="false">SUM(E38:Y38)</f>
        <v>0</v>
      </c>
      <c r="AB38" s="136" t="n">
        <f aca="false">AB37+1</f>
        <v>32</v>
      </c>
    </row>
    <row r="39" customFormat="false" ht="12.75" hidden="false" customHeight="false" outlineLevel="0" collapsed="false">
      <c r="A39" s="318"/>
      <c r="B39" s="319" t="s">
        <v>341</v>
      </c>
      <c r="C39" s="320"/>
      <c r="D39" s="320"/>
      <c r="E39" s="321" t="n">
        <f aca="false">(IF(AND(E$7&gt;YEAR(Fin_Close),E$7&lt;=Assm!$W$65),-Assm!$X$64,0))+(-'Debt Amort'!E24)</f>
        <v>0</v>
      </c>
      <c r="F39" s="321" t="n">
        <f aca="false">(IF(AND(F$7&gt;YEAR(Fin_Close),F$7&lt;=Assm!$W$65),-Assm!$X$64,0))+(-'Debt Amort'!F24)</f>
        <v>0</v>
      </c>
      <c r="G39" s="321" t="n">
        <f aca="false">(IF(AND(G$7&gt;YEAR(Fin_Close),G$7&lt;=Assm!$W$65),-Assm!$X$64,0))+(-'Debt Amort'!G24)</f>
        <v>-1628.79153027435</v>
      </c>
      <c r="H39" s="321" t="n">
        <f aca="false">(IF(AND(H$7&gt;YEAR(Fin_Close),H$7&lt;=Assm!$W$65),-Assm!$X$64,0))+(-'Debt Amort'!H24)</f>
        <v>-3902.09967265843</v>
      </c>
      <c r="I39" s="321" t="n">
        <f aca="false">(IF(AND(I$7&gt;YEAR(Fin_Close),I$7&lt;=Assm!$W$65),-Assm!$X$64,0))+(-'Debt Amort'!I24)</f>
        <v>-3818.03481938367</v>
      </c>
      <c r="J39" s="321" t="n">
        <f aca="false">(IF(AND(J$7&gt;YEAR(Fin_Close),J$7&lt;=Assm!$W$65),-Assm!$X$64,0))+(-'Debt Amort'!J24)</f>
        <v>-5</v>
      </c>
      <c r="K39" s="321" t="n">
        <f aca="false">(IF(AND(K$7&gt;YEAR(Fin_Close),K$7&lt;=Assm!$W$65),-Assm!$X$64,0))+(-'Debt Amort'!K24)</f>
        <v>-5</v>
      </c>
      <c r="L39" s="321" t="n">
        <f aca="false">(IF(AND(L$7&gt;YEAR(Fin_Close),L$7&lt;=Assm!$W$65),-Assm!$X$64,0))+(-'Debt Amort'!L24)</f>
        <v>-5</v>
      </c>
      <c r="M39" s="321" t="n">
        <f aca="false">(IF(AND(M$7&gt;YEAR(Fin_Close),M$7&lt;=Assm!$W$65),-Assm!$X$64,0))+(-'Debt Amort'!M24)</f>
        <v>-5</v>
      </c>
      <c r="N39" s="321" t="n">
        <f aca="false">(IF(AND(N$7&gt;YEAR(Fin_Close),N$7&lt;=Assm!$W$65),-Assm!$X$64,0))+(-'Debt Amort'!N24)</f>
        <v>-5</v>
      </c>
      <c r="O39" s="321" t="n">
        <f aca="false">(IF(AND(O$7&gt;YEAR(Fin_Close),O$7&lt;=Assm!$W$65),-Assm!$X$64,0))+(-'Debt Amort'!O24)</f>
        <v>-5</v>
      </c>
      <c r="P39" s="321" t="n">
        <f aca="false">(IF(AND(P$7&gt;YEAR(Fin_Close),P$7&lt;=Assm!$W$65),-Assm!$X$64,0))+(-'Debt Amort'!P24)</f>
        <v>-5</v>
      </c>
      <c r="Q39" s="321" t="n">
        <f aca="false">(IF(AND(Q$7&gt;YEAR(Fin_Close),Q$7&lt;=Assm!$W$65),-Assm!$X$64,0))+(-'Debt Amort'!Q24)</f>
        <v>-5</v>
      </c>
      <c r="R39" s="321" t="n">
        <f aca="false">(IF(AND(R$7&gt;YEAR(Fin_Close),R$7&lt;=Assm!$W$65),-Assm!$X$64,0))+(-'Debt Amort'!R24)</f>
        <v>-5</v>
      </c>
      <c r="S39" s="321" t="n">
        <f aca="false">(IF(AND(S$7&gt;YEAR(Fin_Close),S$7&lt;=Assm!$W$65),-Assm!$X$64,0))+(-'Debt Amort'!S24)</f>
        <v>-5</v>
      </c>
      <c r="T39" s="321" t="n">
        <f aca="false">(IF(AND(T$7&gt;YEAR(Fin_Close),T$7&lt;=Assm!$W$65),-Assm!$X$64,0))+(-'Debt Amort'!T24)</f>
        <v>-5</v>
      </c>
      <c r="U39" s="321" t="n">
        <f aca="false">(IF(AND(U$7&gt;YEAR(Fin_Close),U$7&lt;=Assm!$W$65),-Assm!$X$64,0))+(-'Debt Amort'!U24)</f>
        <v>-5</v>
      </c>
      <c r="V39" s="321" t="n">
        <f aca="false">(IF(AND(V$7&gt;YEAR(Fin_Close),V$7&lt;=Assm!$W$65),-Assm!$X$64,0))+(-'Debt Amort'!V24)</f>
        <v>0</v>
      </c>
      <c r="W39" s="321" t="n">
        <f aca="false">(IF(AND(W$7&gt;YEAR(Fin_Close),W$7&lt;=Assm!$W$65),-Assm!$X$64,0))+(-'Debt Amort'!W24)</f>
        <v>0</v>
      </c>
      <c r="X39" s="321" t="n">
        <f aca="false">(IF(AND(X$7&gt;YEAR(Fin_Close),X$7&lt;=Assm!$W$65),-Assm!$X$64,0))+(-'Debt Amort'!X24)</f>
        <v>0</v>
      </c>
      <c r="Y39" s="321" t="n">
        <f aca="false">(IF(AND(Y$7&gt;YEAR(Fin_Close),Y$7&lt;=Assm!$W$65),-Assm!$X$64,0))+(-'Debt Amort'!Y24)</f>
        <v>0</v>
      </c>
      <c r="Z39" s="322" t="n">
        <f aca="false">SUM(E39:Y39)</f>
        <v>-9408.92602231645</v>
      </c>
      <c r="AA39" s="323"/>
      <c r="AB39" s="324" t="n">
        <f aca="false">AB38+1</f>
        <v>33</v>
      </c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  <c r="AR39" s="323"/>
      <c r="AS39" s="323"/>
      <c r="AT39" s="323"/>
      <c r="AU39" s="323"/>
      <c r="AV39" s="323"/>
      <c r="AW39" s="323"/>
      <c r="AX39" s="323"/>
      <c r="AY39" s="323"/>
      <c r="AZ39" s="323"/>
      <c r="BA39" s="323"/>
      <c r="BB39" s="323"/>
      <c r="BC39" s="323"/>
      <c r="BD39" s="323"/>
      <c r="BE39" s="323"/>
      <c r="BF39" s="323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323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  <c r="DB39" s="323"/>
      <c r="DC39" s="323"/>
      <c r="DD39" s="323"/>
      <c r="DE39" s="323"/>
      <c r="DF39" s="323"/>
      <c r="DG39" s="323"/>
      <c r="DH39" s="323"/>
      <c r="DI39" s="323"/>
      <c r="DJ39" s="323"/>
      <c r="DK39" s="323"/>
      <c r="DL39" s="323"/>
      <c r="DM39" s="323"/>
      <c r="DN39" s="323"/>
      <c r="DO39" s="323"/>
      <c r="DP39" s="323"/>
      <c r="DQ39" s="323"/>
      <c r="DR39" s="323"/>
      <c r="DS39" s="323"/>
      <c r="DT39" s="323"/>
      <c r="DU39" s="323"/>
      <c r="DV39" s="323"/>
      <c r="DW39" s="323"/>
      <c r="DX39" s="323"/>
      <c r="DY39" s="323"/>
      <c r="DZ39" s="323"/>
      <c r="EA39" s="323"/>
      <c r="EB39" s="323"/>
      <c r="EC39" s="323"/>
      <c r="ED39" s="323"/>
      <c r="EE39" s="323"/>
      <c r="EF39" s="323"/>
      <c r="EG39" s="323"/>
      <c r="EH39" s="323"/>
      <c r="EI39" s="323"/>
      <c r="EJ39" s="323"/>
      <c r="EK39" s="323"/>
      <c r="EL39" s="323"/>
      <c r="EM39" s="323"/>
      <c r="EN39" s="323"/>
      <c r="EO39" s="323"/>
      <c r="EP39" s="323"/>
      <c r="EQ39" s="323"/>
      <c r="ER39" s="323"/>
      <c r="ES39" s="323"/>
      <c r="ET39" s="323"/>
      <c r="EU39" s="323"/>
      <c r="EV39" s="323"/>
      <c r="EW39" s="323"/>
      <c r="EX39" s="323"/>
      <c r="EY39" s="323"/>
      <c r="EZ39" s="323"/>
      <c r="FA39" s="323"/>
      <c r="FB39" s="323"/>
      <c r="FC39" s="323"/>
      <c r="FD39" s="323"/>
      <c r="FE39" s="323"/>
      <c r="FF39" s="323"/>
      <c r="FG39" s="323"/>
      <c r="FH39" s="323"/>
      <c r="FI39" s="323"/>
      <c r="FJ39" s="323"/>
      <c r="FK39" s="323"/>
      <c r="FL39" s="323"/>
      <c r="FM39" s="323"/>
      <c r="FN39" s="323"/>
      <c r="FO39" s="323"/>
      <c r="FP39" s="323"/>
      <c r="FQ39" s="323"/>
      <c r="FR39" s="323"/>
      <c r="FS39" s="323"/>
      <c r="FT39" s="323"/>
      <c r="FU39" s="323"/>
      <c r="FV39" s="323"/>
      <c r="FW39" s="323"/>
      <c r="FX39" s="323"/>
      <c r="FY39" s="323"/>
      <c r="FZ39" s="323"/>
      <c r="GA39" s="323"/>
      <c r="GB39" s="323"/>
      <c r="GC39" s="323"/>
      <c r="GD39" s="323"/>
      <c r="GE39" s="323"/>
      <c r="GF39" s="323"/>
      <c r="GG39" s="323"/>
      <c r="GH39" s="323"/>
      <c r="GI39" s="323"/>
      <c r="GJ39" s="323"/>
      <c r="GK39" s="323"/>
      <c r="GL39" s="323"/>
      <c r="GM39" s="323"/>
      <c r="GN39" s="323"/>
      <c r="GO39" s="323"/>
      <c r="GP39" s="323"/>
      <c r="GQ39" s="323"/>
      <c r="GR39" s="323"/>
      <c r="GS39" s="323"/>
      <c r="GT39" s="323"/>
      <c r="GU39" s="323"/>
      <c r="GV39" s="323"/>
      <c r="GW39" s="323"/>
      <c r="GX39" s="323"/>
      <c r="GY39" s="323"/>
      <c r="GZ39" s="323"/>
      <c r="HA39" s="323"/>
      <c r="HB39" s="323"/>
      <c r="HC39" s="323"/>
      <c r="HD39" s="323"/>
      <c r="HE39" s="323"/>
      <c r="HF39" s="323"/>
      <c r="HG39" s="323"/>
      <c r="HH39" s="323"/>
      <c r="HI39" s="323"/>
      <c r="HJ39" s="323"/>
      <c r="HK39" s="323"/>
      <c r="HL39" s="323"/>
      <c r="HM39" s="323"/>
      <c r="HN39" s="323"/>
      <c r="HO39" s="323"/>
      <c r="HP39" s="323"/>
      <c r="HQ39" s="323"/>
      <c r="HR39" s="323"/>
      <c r="HS39" s="323"/>
      <c r="HT39" s="323"/>
      <c r="HU39" s="323"/>
      <c r="HV39" s="323"/>
      <c r="HW39" s="323"/>
      <c r="HX39" s="323"/>
      <c r="HY39" s="323"/>
      <c r="HZ39" s="323"/>
      <c r="IA39" s="323"/>
      <c r="IB39" s="323"/>
      <c r="IC39" s="323"/>
      <c r="ID39" s="323"/>
      <c r="IE39" s="323"/>
      <c r="IF39" s="323"/>
      <c r="IG39" s="323"/>
      <c r="IH39" s="323"/>
      <c r="II39" s="323"/>
      <c r="IJ39" s="323"/>
      <c r="IK39" s="323"/>
      <c r="IL39" s="323"/>
      <c r="IM39" s="323"/>
      <c r="IN39" s="323"/>
      <c r="IO39" s="323"/>
      <c r="IP39" s="323"/>
      <c r="IQ39" s="323"/>
      <c r="IR39" s="323"/>
      <c r="IS39" s="323"/>
      <c r="IT39" s="323"/>
      <c r="IU39" s="323"/>
      <c r="IV39" s="323"/>
      <c r="IW39" s="323"/>
    </row>
    <row r="40" customFormat="false" ht="12.75" hidden="false" customHeight="false" outlineLevel="0" collapsed="false">
      <c r="A40" s="313"/>
      <c r="B40" s="314" t="s">
        <v>342</v>
      </c>
      <c r="C40" s="314"/>
      <c r="D40" s="314"/>
      <c r="E40" s="325" t="n">
        <f aca="false">IF(E$6&gt;Assm!$X$72+1,0,-'Debt Amort'!E17*Assm!$U$83)</f>
        <v>-0</v>
      </c>
      <c r="F40" s="325" t="n">
        <f aca="false">IF(F$6&gt;Assm!$X$72+1,0,-'Debt Amort'!F17*Assm!$U$83)</f>
        <v>-0</v>
      </c>
      <c r="G40" s="325" t="n">
        <f aca="false">IF(G$6&gt;Assm!$X$72+1,0,-'Debt Amort'!G17*Assm!$U$83)</f>
        <v>-43.5537508168332</v>
      </c>
      <c r="H40" s="325" t="n">
        <f aca="false">IF(H$6&gt;Assm!$X$72+1,0,-'Debt Amort'!H17*Assm!$U$83)</f>
        <v>-118.373475078629</v>
      </c>
      <c r="I40" s="325" t="n">
        <f aca="false">IF(I$6&gt;Assm!$X$72+1,0,-'Debt Amort'!I17*Assm!$U$83)</f>
        <v>-126.43312991701</v>
      </c>
      <c r="J40" s="325" t="n">
        <f aca="false">IF(J$6&gt;Assm!$X$72+1,0,-'Debt Amort'!J17*Assm!$U$83)</f>
        <v>-166.235534803832</v>
      </c>
      <c r="K40" s="325" t="n">
        <f aca="false">IF(K$6&gt;Assm!$X$72+1,0,-'Debt Amort'!K17*Assm!$U$83)</f>
        <v>-176.657724457064</v>
      </c>
      <c r="L40" s="325" t="n">
        <f aca="false">IF(L$6&gt;Assm!$X$72+1,0,-'Debt Amort'!L17*Assm!$U$83)</f>
        <v>-178.378960525224</v>
      </c>
      <c r="M40" s="325" t="n">
        <f aca="false">IF(M$6&gt;Assm!$X$72+1,0,-'Debt Amort'!M17*Assm!$U$83)</f>
        <v>-174.367649933404</v>
      </c>
      <c r="N40" s="325" t="n">
        <f aca="false">IF(N$6&gt;Assm!$X$72+1,0,-'Debt Amort'!N17*Assm!$U$83)</f>
        <v>-137.597145896608</v>
      </c>
      <c r="O40" s="325" t="n">
        <f aca="false">IF(O$6&gt;Assm!$X$72+1,0,-'Debt Amort'!O17*Assm!$U$83)</f>
        <v>-104.997349038031</v>
      </c>
      <c r="P40" s="325" t="n">
        <f aca="false">IF(P$6&gt;Assm!$X$72+1,0,-'Debt Amort'!P17*Assm!$U$83)</f>
        <v>-99.0361098319449</v>
      </c>
      <c r="Q40" s="325" t="n">
        <f aca="false">IF(Q$6&gt;Assm!$X$72+1,0,-'Debt Amort'!Q17*Assm!$U$83)</f>
        <v>-105.699031589067</v>
      </c>
      <c r="R40" s="325" t="n">
        <f aca="false">IF(R$6&gt;Assm!$X$72+1,0,-'Debt Amort'!R17*Assm!$U$83)</f>
        <v>-110.276599757079</v>
      </c>
      <c r="S40" s="325" t="n">
        <f aca="false">IF(S$6&gt;Assm!$X$72+1,0,-'Debt Amort'!S17*Assm!$U$83)</f>
        <v>-101.534889098846</v>
      </c>
      <c r="T40" s="325" t="n">
        <f aca="false">IF(T$6&gt;Assm!$X$72+1,0,-'Debt Amort'!T17*Assm!$U$83)</f>
        <v>-95.6407335450959</v>
      </c>
      <c r="U40" s="325" t="n">
        <f aca="false">IF(U$6&gt;Assm!$X$72+1,0,-'Debt Amort'!U17*Assm!$U$83)</f>
        <v>-63.5016788710533</v>
      </c>
      <c r="V40" s="325" t="n">
        <f aca="false">IF(V$6&gt;Assm!$X$72+1,0,-'Debt Amort'!V17*Assm!$U$83)</f>
        <v>-0</v>
      </c>
      <c r="W40" s="325" t="n">
        <f aca="false">IF(W$6&gt;Assm!$X$72+1,0,-'Debt Amort'!W17*Assm!$U$83)</f>
        <v>-0</v>
      </c>
      <c r="X40" s="325" t="n">
        <f aca="false">IF(X$6&gt;Assm!$X$72+1,0,-'Debt Amort'!X17*Assm!$U$83)</f>
        <v>-0</v>
      </c>
      <c r="Y40" s="325" t="n">
        <f aca="false">IF(Y$6&gt;Assm!$X$72+1,0,-'Debt Amort'!Y17*Assm!$U$83)</f>
        <v>-0</v>
      </c>
      <c r="Z40" s="326" t="n">
        <f aca="false">SUM(E40:Y40)</f>
        <v>-1802.28376315972</v>
      </c>
      <c r="AA40" s="327"/>
      <c r="AB40" s="136" t="n">
        <f aca="false">AB39+1</f>
        <v>34</v>
      </c>
      <c r="AC40" s="327"/>
      <c r="AD40" s="327"/>
      <c r="AE40" s="327"/>
      <c r="AF40" s="327"/>
      <c r="AG40" s="327"/>
      <c r="AH40" s="327"/>
      <c r="AI40" s="327"/>
      <c r="AJ40" s="327"/>
      <c r="AK40" s="327"/>
      <c r="AL40" s="327"/>
      <c r="AM40" s="327"/>
      <c r="AN40" s="327"/>
      <c r="AO40" s="327"/>
      <c r="AP40" s="327"/>
      <c r="AQ40" s="327"/>
      <c r="AR40" s="327"/>
      <c r="AS40" s="327"/>
      <c r="AT40" s="327"/>
      <c r="AU40" s="327"/>
      <c r="AV40" s="327"/>
      <c r="AW40" s="327"/>
      <c r="AX40" s="327"/>
      <c r="AY40" s="327"/>
      <c r="AZ40" s="327"/>
      <c r="BA40" s="327"/>
      <c r="BB40" s="327"/>
      <c r="BC40" s="327"/>
      <c r="BD40" s="327"/>
      <c r="BE40" s="327"/>
      <c r="BF40" s="327"/>
      <c r="BG40" s="327"/>
      <c r="BH40" s="327"/>
      <c r="BI40" s="327"/>
      <c r="BJ40" s="327"/>
      <c r="BK40" s="327"/>
      <c r="BL40" s="327"/>
      <c r="BM40" s="327"/>
      <c r="BN40" s="327"/>
      <c r="BO40" s="327"/>
      <c r="BP40" s="327"/>
      <c r="BQ40" s="327"/>
      <c r="BR40" s="327"/>
      <c r="BS40" s="327"/>
      <c r="BT40" s="327"/>
      <c r="BU40" s="327"/>
      <c r="BV40" s="327"/>
      <c r="BW40" s="327"/>
      <c r="BX40" s="327"/>
      <c r="BY40" s="327"/>
      <c r="BZ40" s="327"/>
      <c r="CA40" s="327"/>
      <c r="CB40" s="327"/>
      <c r="CC40" s="327"/>
      <c r="CD40" s="327"/>
      <c r="CE40" s="327"/>
      <c r="CF40" s="327"/>
      <c r="CG40" s="327"/>
      <c r="CH40" s="327"/>
      <c r="CI40" s="327"/>
      <c r="CJ40" s="327"/>
      <c r="CK40" s="327"/>
      <c r="CL40" s="327"/>
      <c r="CM40" s="327"/>
      <c r="CN40" s="327"/>
      <c r="CO40" s="327"/>
      <c r="CP40" s="327"/>
      <c r="CQ40" s="327"/>
      <c r="CR40" s="327"/>
      <c r="CS40" s="327"/>
      <c r="CT40" s="327"/>
      <c r="CU40" s="327"/>
      <c r="CV40" s="327"/>
      <c r="CW40" s="327"/>
      <c r="CX40" s="327"/>
      <c r="CY40" s="327"/>
      <c r="CZ40" s="327"/>
      <c r="DA40" s="327"/>
      <c r="DB40" s="327"/>
      <c r="DC40" s="327"/>
      <c r="DD40" s="327"/>
      <c r="DE40" s="327"/>
      <c r="DF40" s="327"/>
      <c r="DG40" s="327"/>
      <c r="DH40" s="327"/>
      <c r="DI40" s="327"/>
      <c r="DJ40" s="327"/>
      <c r="DK40" s="327"/>
      <c r="DL40" s="327"/>
      <c r="DM40" s="327"/>
      <c r="DN40" s="327"/>
      <c r="DO40" s="327"/>
      <c r="DP40" s="327"/>
      <c r="DQ40" s="327"/>
      <c r="DR40" s="327"/>
      <c r="DS40" s="327"/>
      <c r="DT40" s="327"/>
      <c r="DU40" s="327"/>
      <c r="DV40" s="327"/>
      <c r="DW40" s="327"/>
      <c r="DX40" s="327"/>
      <c r="DY40" s="327"/>
      <c r="DZ40" s="327"/>
      <c r="EA40" s="327"/>
      <c r="EB40" s="327"/>
      <c r="EC40" s="327"/>
      <c r="ED40" s="327"/>
      <c r="EE40" s="327"/>
      <c r="EF40" s="327"/>
      <c r="EG40" s="327"/>
      <c r="EH40" s="327"/>
      <c r="EI40" s="327"/>
      <c r="EJ40" s="327"/>
      <c r="EK40" s="327"/>
      <c r="EL40" s="327"/>
      <c r="EM40" s="327"/>
      <c r="EN40" s="327"/>
      <c r="EO40" s="327"/>
      <c r="EP40" s="327"/>
      <c r="EQ40" s="327"/>
      <c r="ER40" s="327"/>
      <c r="ES40" s="327"/>
      <c r="ET40" s="327"/>
      <c r="EU40" s="327"/>
      <c r="EV40" s="327"/>
      <c r="EW40" s="327"/>
      <c r="EX40" s="327"/>
      <c r="EY40" s="327"/>
      <c r="EZ40" s="327"/>
      <c r="FA40" s="327"/>
      <c r="FB40" s="327"/>
      <c r="FC40" s="327"/>
      <c r="FD40" s="327"/>
      <c r="FE40" s="327"/>
      <c r="FF40" s="327"/>
      <c r="FG40" s="327"/>
      <c r="FH40" s="327"/>
      <c r="FI40" s="327"/>
      <c r="FJ40" s="327"/>
      <c r="FK40" s="327"/>
      <c r="FL40" s="327"/>
      <c r="FM40" s="327"/>
      <c r="FN40" s="327"/>
      <c r="FO40" s="327"/>
      <c r="FP40" s="327"/>
      <c r="FQ40" s="327"/>
      <c r="FR40" s="327"/>
      <c r="FS40" s="327"/>
      <c r="FT40" s="327"/>
      <c r="FU40" s="327"/>
      <c r="FV40" s="327"/>
      <c r="FW40" s="327"/>
      <c r="FX40" s="327"/>
      <c r="FY40" s="327"/>
      <c r="FZ40" s="327"/>
      <c r="GA40" s="327"/>
      <c r="GB40" s="327"/>
      <c r="GC40" s="327"/>
      <c r="GD40" s="327"/>
      <c r="GE40" s="327"/>
      <c r="GF40" s="327"/>
      <c r="GG40" s="327"/>
      <c r="GH40" s="327"/>
      <c r="GI40" s="327"/>
      <c r="GJ40" s="327"/>
      <c r="GK40" s="327"/>
      <c r="GL40" s="327"/>
      <c r="GM40" s="327"/>
      <c r="GN40" s="327"/>
      <c r="GO40" s="327"/>
      <c r="GP40" s="327"/>
      <c r="GQ40" s="327"/>
      <c r="GR40" s="327"/>
      <c r="GS40" s="327"/>
      <c r="GT40" s="327"/>
      <c r="GU40" s="327"/>
      <c r="GV40" s="327"/>
      <c r="GW40" s="327"/>
      <c r="GX40" s="327"/>
      <c r="GY40" s="327"/>
      <c r="GZ40" s="327"/>
      <c r="HA40" s="327"/>
      <c r="HB40" s="327"/>
      <c r="HC40" s="327"/>
      <c r="HD40" s="327"/>
      <c r="HE40" s="327"/>
      <c r="HF40" s="327"/>
      <c r="HG40" s="327"/>
      <c r="HH40" s="327"/>
      <c r="HI40" s="327"/>
      <c r="HJ40" s="327"/>
      <c r="HK40" s="327"/>
      <c r="HL40" s="327"/>
      <c r="HM40" s="327"/>
      <c r="HN40" s="327"/>
      <c r="HO40" s="327"/>
      <c r="HP40" s="327"/>
      <c r="HQ40" s="327"/>
      <c r="HR40" s="327"/>
      <c r="HS40" s="327"/>
      <c r="HT40" s="327"/>
      <c r="HU40" s="327"/>
      <c r="HV40" s="327"/>
      <c r="HW40" s="327"/>
      <c r="HX40" s="327"/>
      <c r="HY40" s="327"/>
      <c r="HZ40" s="327"/>
      <c r="IA40" s="327"/>
      <c r="IB40" s="327"/>
      <c r="IC40" s="327"/>
      <c r="ID40" s="327"/>
      <c r="IE40" s="327"/>
      <c r="IF40" s="327"/>
      <c r="IG40" s="327"/>
      <c r="IH40" s="327"/>
      <c r="II40" s="327"/>
      <c r="IJ40" s="327"/>
      <c r="IK40" s="327"/>
      <c r="IL40" s="327"/>
      <c r="IM40" s="327"/>
      <c r="IN40" s="327"/>
      <c r="IO40" s="327"/>
      <c r="IP40" s="327"/>
      <c r="IQ40" s="327"/>
      <c r="IR40" s="327"/>
      <c r="IS40" s="327"/>
      <c r="IT40" s="327"/>
      <c r="IU40" s="327"/>
      <c r="IV40" s="327"/>
      <c r="IW40" s="327"/>
    </row>
    <row r="41" customFormat="false" ht="12.75" hidden="false" customHeight="false" outlineLevel="0" collapsed="false">
      <c r="A41" s="313"/>
      <c r="B41" s="328" t="s">
        <v>343</v>
      </c>
      <c r="C41" s="314"/>
      <c r="D41" s="314"/>
      <c r="E41" s="329" t="n">
        <f aca="false">SUM(E37:E40)</f>
        <v>0</v>
      </c>
      <c r="F41" s="329" t="n">
        <f aca="false">SUM(F37:F40)</f>
        <v>0</v>
      </c>
      <c r="G41" s="329" t="n">
        <f aca="false">SUM(G37:G40)</f>
        <v>-1672.34528109118</v>
      </c>
      <c r="H41" s="329" t="n">
        <f aca="false">SUM(H37:H40)</f>
        <v>-3999.6126138015</v>
      </c>
      <c r="I41" s="329" t="n">
        <f aca="false">SUM(I37:I40)</f>
        <v>-3923.60741536512</v>
      </c>
      <c r="J41" s="329" t="n">
        <f aca="false">SUM(J37:J40)</f>
        <v>-405.040242357795</v>
      </c>
      <c r="K41" s="329" t="n">
        <f aca="false">SUM(K37:K40)</f>
        <v>-724.869400889194</v>
      </c>
      <c r="L41" s="329" t="n">
        <f aca="false">SUM(L37:L40)</f>
        <v>-974.050667020819</v>
      </c>
      <c r="M41" s="329" t="n">
        <f aca="false">SUM(M37:M40)</f>
        <v>-1236.00950121567</v>
      </c>
      <c r="N41" s="329" t="n">
        <f aca="false">SUM(N37:N40)</f>
        <v>-1470.61957705358</v>
      </c>
      <c r="O41" s="329" t="n">
        <f aca="false">SUM(O37:O40)</f>
        <v>-1690.53419250969</v>
      </c>
      <c r="P41" s="329" t="n">
        <f aca="false">SUM(P37:P40)</f>
        <v>-1729.17511514053</v>
      </c>
      <c r="Q41" s="329" t="n">
        <f aca="false">SUM(Q37:Q40)</f>
        <v>-1665.8960419561</v>
      </c>
      <c r="R41" s="329" t="n">
        <f aca="false">SUM(R37:R40)</f>
        <v>-1618.55465170049</v>
      </c>
      <c r="S41" s="329" t="n">
        <f aca="false">SUM(S37:S40)</f>
        <v>-1574.72735823104</v>
      </c>
      <c r="T41" s="329" t="n">
        <f aca="false">SUM(T37:T40)</f>
        <v>-1370.62933736077</v>
      </c>
      <c r="U41" s="329" t="n">
        <f aca="false">SUM(U37:U40)</f>
        <v>-1079.44051665741</v>
      </c>
      <c r="V41" s="329" t="n">
        <f aca="false">SUM(V37:V40)</f>
        <v>-620.683514781294</v>
      </c>
      <c r="W41" s="329" t="n">
        <f aca="false">SUM(W37:W40)</f>
        <v>31.3545300248106</v>
      </c>
      <c r="X41" s="329" t="n">
        <f aca="false">SUM(X37:X40)</f>
        <v>492.210816046157</v>
      </c>
      <c r="Y41" s="329" t="n">
        <f aca="false">SUM(Y37:Y40)</f>
        <v>269.413609218463</v>
      </c>
      <c r="Z41" s="330" t="n">
        <f aca="false">SUM(E41:Y41)</f>
        <v>-24962.8164718428</v>
      </c>
      <c r="AA41" s="327"/>
      <c r="AB41" s="136" t="n">
        <f aca="false">AB40+1</f>
        <v>35</v>
      </c>
      <c r="AC41" s="327"/>
      <c r="AD41" s="327"/>
      <c r="AE41" s="327"/>
      <c r="AF41" s="327"/>
      <c r="AG41" s="327"/>
      <c r="AH41" s="327"/>
      <c r="AI41" s="327"/>
      <c r="AJ41" s="327"/>
      <c r="AK41" s="327"/>
      <c r="AL41" s="327"/>
      <c r="AM41" s="327"/>
      <c r="AN41" s="327"/>
      <c r="AO41" s="327"/>
      <c r="AP41" s="327"/>
      <c r="AQ41" s="327"/>
      <c r="AR41" s="327"/>
      <c r="AS41" s="327"/>
      <c r="AT41" s="327"/>
      <c r="AU41" s="327"/>
      <c r="AV41" s="327"/>
      <c r="AW41" s="327"/>
      <c r="AX41" s="327"/>
      <c r="AY41" s="327"/>
      <c r="AZ41" s="327"/>
      <c r="BA41" s="327"/>
      <c r="BB41" s="327"/>
      <c r="BC41" s="327"/>
      <c r="BD41" s="327"/>
      <c r="BE41" s="327"/>
      <c r="BF41" s="327"/>
      <c r="BG41" s="327"/>
      <c r="BH41" s="327"/>
      <c r="BI41" s="327"/>
      <c r="BJ41" s="327"/>
      <c r="BK41" s="327"/>
      <c r="BL41" s="327"/>
      <c r="BM41" s="327"/>
      <c r="BN41" s="327"/>
      <c r="BO41" s="327"/>
      <c r="BP41" s="327"/>
      <c r="BQ41" s="327"/>
      <c r="BR41" s="327"/>
      <c r="BS41" s="327"/>
      <c r="BT41" s="327"/>
      <c r="BU41" s="327"/>
      <c r="BV41" s="327"/>
      <c r="BW41" s="327"/>
      <c r="BX41" s="327"/>
      <c r="BY41" s="327"/>
      <c r="BZ41" s="327"/>
      <c r="CA41" s="327"/>
      <c r="CB41" s="327"/>
      <c r="CC41" s="327"/>
      <c r="CD41" s="327"/>
      <c r="CE41" s="327"/>
      <c r="CF41" s="327"/>
      <c r="CG41" s="327"/>
      <c r="CH41" s="327"/>
      <c r="CI41" s="327"/>
      <c r="CJ41" s="327"/>
      <c r="CK41" s="327"/>
      <c r="CL41" s="327"/>
      <c r="CM41" s="327"/>
      <c r="CN41" s="327"/>
      <c r="CO41" s="327"/>
      <c r="CP41" s="327"/>
      <c r="CQ41" s="327"/>
      <c r="CR41" s="327"/>
      <c r="CS41" s="327"/>
      <c r="CT41" s="327"/>
      <c r="CU41" s="327"/>
      <c r="CV41" s="327"/>
      <c r="CW41" s="327"/>
      <c r="CX41" s="327"/>
      <c r="CY41" s="327"/>
      <c r="CZ41" s="327"/>
      <c r="DA41" s="327"/>
      <c r="DB41" s="327"/>
      <c r="DC41" s="327"/>
      <c r="DD41" s="327"/>
      <c r="DE41" s="327"/>
      <c r="DF41" s="327"/>
      <c r="DG41" s="327"/>
      <c r="DH41" s="327"/>
      <c r="DI41" s="327"/>
      <c r="DJ41" s="327"/>
      <c r="DK41" s="327"/>
      <c r="DL41" s="327"/>
      <c r="DM41" s="327"/>
      <c r="DN41" s="327"/>
      <c r="DO41" s="327"/>
      <c r="DP41" s="327"/>
      <c r="DQ41" s="327"/>
      <c r="DR41" s="327"/>
      <c r="DS41" s="327"/>
      <c r="DT41" s="327"/>
      <c r="DU41" s="327"/>
      <c r="DV41" s="327"/>
      <c r="DW41" s="327"/>
      <c r="DX41" s="327"/>
      <c r="DY41" s="327"/>
      <c r="DZ41" s="327"/>
      <c r="EA41" s="327"/>
      <c r="EB41" s="327"/>
      <c r="EC41" s="327"/>
      <c r="ED41" s="327"/>
      <c r="EE41" s="327"/>
      <c r="EF41" s="327"/>
      <c r="EG41" s="327"/>
      <c r="EH41" s="327"/>
      <c r="EI41" s="327"/>
      <c r="EJ41" s="327"/>
      <c r="EK41" s="327"/>
      <c r="EL41" s="327"/>
      <c r="EM41" s="327"/>
      <c r="EN41" s="327"/>
      <c r="EO41" s="327"/>
      <c r="EP41" s="327"/>
      <c r="EQ41" s="327"/>
      <c r="ER41" s="327"/>
      <c r="ES41" s="327"/>
      <c r="ET41" s="327"/>
      <c r="EU41" s="327"/>
      <c r="EV41" s="327"/>
      <c r="EW41" s="327"/>
      <c r="EX41" s="327"/>
      <c r="EY41" s="327"/>
      <c r="EZ41" s="327"/>
      <c r="FA41" s="327"/>
      <c r="FB41" s="327"/>
      <c r="FC41" s="327"/>
      <c r="FD41" s="327"/>
      <c r="FE41" s="327"/>
      <c r="FF41" s="327"/>
      <c r="FG41" s="327"/>
      <c r="FH41" s="327"/>
      <c r="FI41" s="327"/>
      <c r="FJ41" s="327"/>
      <c r="FK41" s="327"/>
      <c r="FL41" s="327"/>
      <c r="FM41" s="327"/>
      <c r="FN41" s="327"/>
      <c r="FO41" s="327"/>
      <c r="FP41" s="327"/>
      <c r="FQ41" s="327"/>
      <c r="FR41" s="327"/>
      <c r="FS41" s="327"/>
      <c r="FT41" s="327"/>
      <c r="FU41" s="327"/>
      <c r="FV41" s="327"/>
      <c r="FW41" s="327"/>
      <c r="FX41" s="327"/>
      <c r="FY41" s="327"/>
      <c r="FZ41" s="327"/>
      <c r="GA41" s="327"/>
      <c r="GB41" s="327"/>
      <c r="GC41" s="327"/>
      <c r="GD41" s="327"/>
      <c r="GE41" s="327"/>
      <c r="GF41" s="327"/>
      <c r="GG41" s="327"/>
      <c r="GH41" s="327"/>
      <c r="GI41" s="327"/>
      <c r="GJ41" s="327"/>
      <c r="GK41" s="327"/>
      <c r="GL41" s="327"/>
      <c r="GM41" s="327"/>
      <c r="GN41" s="327"/>
      <c r="GO41" s="327"/>
      <c r="GP41" s="327"/>
      <c r="GQ41" s="327"/>
      <c r="GR41" s="327"/>
      <c r="GS41" s="327"/>
      <c r="GT41" s="327"/>
      <c r="GU41" s="327"/>
      <c r="GV41" s="327"/>
      <c r="GW41" s="327"/>
      <c r="GX41" s="327"/>
      <c r="GY41" s="327"/>
      <c r="GZ41" s="327"/>
      <c r="HA41" s="327"/>
      <c r="HB41" s="327"/>
      <c r="HC41" s="327"/>
      <c r="HD41" s="327"/>
      <c r="HE41" s="327"/>
      <c r="HF41" s="327"/>
      <c r="HG41" s="327"/>
      <c r="HH41" s="327"/>
      <c r="HI41" s="327"/>
      <c r="HJ41" s="327"/>
      <c r="HK41" s="327"/>
      <c r="HL41" s="327"/>
      <c r="HM41" s="327"/>
      <c r="HN41" s="327"/>
      <c r="HO41" s="327"/>
      <c r="HP41" s="327"/>
      <c r="HQ41" s="327"/>
      <c r="HR41" s="327"/>
      <c r="HS41" s="327"/>
      <c r="HT41" s="327"/>
      <c r="HU41" s="327"/>
      <c r="HV41" s="327"/>
      <c r="HW41" s="327"/>
      <c r="HX41" s="327"/>
      <c r="HY41" s="327"/>
      <c r="HZ41" s="327"/>
      <c r="IA41" s="327"/>
      <c r="IB41" s="327"/>
      <c r="IC41" s="327"/>
      <c r="ID41" s="327"/>
      <c r="IE41" s="327"/>
      <c r="IF41" s="327"/>
      <c r="IG41" s="327"/>
      <c r="IH41" s="327"/>
      <c r="II41" s="327"/>
      <c r="IJ41" s="327"/>
      <c r="IK41" s="327"/>
      <c r="IL41" s="327"/>
      <c r="IM41" s="327"/>
      <c r="IN41" s="327"/>
      <c r="IO41" s="327"/>
      <c r="IP41" s="327"/>
      <c r="IQ41" s="327"/>
      <c r="IR41" s="327"/>
      <c r="IS41" s="327"/>
      <c r="IT41" s="327"/>
      <c r="IU41" s="327"/>
      <c r="IV41" s="327"/>
      <c r="IW41" s="327"/>
    </row>
    <row r="42" customFormat="false" ht="12.75" hidden="false" customHeight="false" outlineLevel="0" collapsed="false">
      <c r="A42" s="313"/>
      <c r="B42" s="314"/>
      <c r="C42" s="314"/>
      <c r="D42" s="314"/>
      <c r="E42" s="316"/>
      <c r="F42" s="316"/>
      <c r="G42" s="316"/>
      <c r="H42" s="316"/>
      <c r="I42" s="316"/>
      <c r="J42" s="316"/>
      <c r="K42" s="316"/>
      <c r="L42" s="316"/>
      <c r="M42" s="316"/>
      <c r="N42" s="316"/>
      <c r="O42" s="316"/>
      <c r="P42" s="316"/>
      <c r="Q42" s="316"/>
      <c r="R42" s="316"/>
      <c r="S42" s="316"/>
      <c r="T42" s="316"/>
      <c r="U42" s="316"/>
      <c r="V42" s="316"/>
      <c r="W42" s="316"/>
      <c r="X42" s="316"/>
      <c r="Y42" s="316"/>
      <c r="Z42" s="317"/>
      <c r="AA42" s="327"/>
      <c r="AB42" s="136" t="n">
        <f aca="false">AB41+1</f>
        <v>36</v>
      </c>
      <c r="AC42" s="327"/>
      <c r="AD42" s="327"/>
      <c r="AE42" s="327"/>
      <c r="AF42" s="327"/>
      <c r="AG42" s="327"/>
      <c r="AH42" s="327"/>
      <c r="AI42" s="327"/>
      <c r="AJ42" s="327"/>
      <c r="AK42" s="327"/>
      <c r="AL42" s="327"/>
      <c r="AM42" s="327"/>
      <c r="AN42" s="327"/>
      <c r="AO42" s="327"/>
      <c r="AP42" s="327"/>
      <c r="AQ42" s="327"/>
      <c r="AR42" s="327"/>
      <c r="AS42" s="327"/>
      <c r="AT42" s="327"/>
      <c r="AU42" s="327"/>
      <c r="AV42" s="327"/>
      <c r="AW42" s="327"/>
      <c r="AX42" s="327"/>
      <c r="AY42" s="327"/>
      <c r="AZ42" s="327"/>
      <c r="BA42" s="327"/>
      <c r="BB42" s="327"/>
      <c r="BC42" s="327"/>
      <c r="BD42" s="327"/>
      <c r="BE42" s="327"/>
      <c r="BF42" s="327"/>
      <c r="BG42" s="327"/>
      <c r="BH42" s="327"/>
      <c r="BI42" s="327"/>
      <c r="BJ42" s="327"/>
      <c r="BK42" s="327"/>
      <c r="BL42" s="327"/>
      <c r="BM42" s="327"/>
      <c r="BN42" s="327"/>
      <c r="BO42" s="327"/>
      <c r="BP42" s="327"/>
      <c r="BQ42" s="327"/>
      <c r="BR42" s="327"/>
      <c r="BS42" s="327"/>
      <c r="BT42" s="327"/>
      <c r="BU42" s="327"/>
      <c r="BV42" s="327"/>
      <c r="BW42" s="327"/>
      <c r="BX42" s="327"/>
      <c r="BY42" s="327"/>
      <c r="BZ42" s="327"/>
      <c r="CA42" s="327"/>
      <c r="CB42" s="327"/>
      <c r="CC42" s="327"/>
      <c r="CD42" s="327"/>
      <c r="CE42" s="327"/>
      <c r="CF42" s="327"/>
      <c r="CG42" s="327"/>
      <c r="CH42" s="327"/>
      <c r="CI42" s="327"/>
      <c r="CJ42" s="327"/>
      <c r="CK42" s="327"/>
      <c r="CL42" s="327"/>
      <c r="CM42" s="327"/>
      <c r="CN42" s="327"/>
      <c r="CO42" s="327"/>
      <c r="CP42" s="327"/>
      <c r="CQ42" s="327"/>
      <c r="CR42" s="327"/>
      <c r="CS42" s="327"/>
      <c r="CT42" s="327"/>
      <c r="CU42" s="327"/>
      <c r="CV42" s="327"/>
      <c r="CW42" s="327"/>
      <c r="CX42" s="327"/>
      <c r="CY42" s="327"/>
      <c r="CZ42" s="327"/>
      <c r="DA42" s="327"/>
      <c r="DB42" s="327"/>
      <c r="DC42" s="327"/>
      <c r="DD42" s="327"/>
      <c r="DE42" s="327"/>
      <c r="DF42" s="327"/>
      <c r="DG42" s="327"/>
      <c r="DH42" s="327"/>
      <c r="DI42" s="327"/>
      <c r="DJ42" s="327"/>
      <c r="DK42" s="327"/>
      <c r="DL42" s="327"/>
      <c r="DM42" s="327"/>
      <c r="DN42" s="327"/>
      <c r="DO42" s="327"/>
      <c r="DP42" s="327"/>
      <c r="DQ42" s="327"/>
      <c r="DR42" s="327"/>
      <c r="DS42" s="327"/>
      <c r="DT42" s="327"/>
      <c r="DU42" s="327"/>
      <c r="DV42" s="327"/>
      <c r="DW42" s="327"/>
      <c r="DX42" s="327"/>
      <c r="DY42" s="327"/>
      <c r="DZ42" s="327"/>
      <c r="EA42" s="327"/>
      <c r="EB42" s="327"/>
      <c r="EC42" s="327"/>
      <c r="ED42" s="327"/>
      <c r="EE42" s="327"/>
      <c r="EF42" s="327"/>
      <c r="EG42" s="327"/>
      <c r="EH42" s="327"/>
      <c r="EI42" s="327"/>
      <c r="EJ42" s="327"/>
      <c r="EK42" s="327"/>
      <c r="EL42" s="327"/>
      <c r="EM42" s="327"/>
      <c r="EN42" s="327"/>
      <c r="EO42" s="327"/>
      <c r="EP42" s="327"/>
      <c r="EQ42" s="327"/>
      <c r="ER42" s="327"/>
      <c r="ES42" s="327"/>
      <c r="ET42" s="327"/>
      <c r="EU42" s="327"/>
      <c r="EV42" s="327"/>
      <c r="EW42" s="327"/>
      <c r="EX42" s="327"/>
      <c r="EY42" s="327"/>
      <c r="EZ42" s="327"/>
      <c r="FA42" s="327"/>
      <c r="FB42" s="327"/>
      <c r="FC42" s="327"/>
      <c r="FD42" s="327"/>
      <c r="FE42" s="327"/>
      <c r="FF42" s="327"/>
      <c r="FG42" s="327"/>
      <c r="FH42" s="327"/>
      <c r="FI42" s="327"/>
      <c r="FJ42" s="327"/>
      <c r="FK42" s="327"/>
      <c r="FL42" s="327"/>
      <c r="FM42" s="327"/>
      <c r="FN42" s="327"/>
      <c r="FO42" s="327"/>
      <c r="FP42" s="327"/>
      <c r="FQ42" s="327"/>
      <c r="FR42" s="327"/>
      <c r="FS42" s="327"/>
      <c r="FT42" s="327"/>
      <c r="FU42" s="327"/>
      <c r="FV42" s="327"/>
      <c r="FW42" s="327"/>
      <c r="FX42" s="327"/>
      <c r="FY42" s="327"/>
      <c r="FZ42" s="327"/>
      <c r="GA42" s="327"/>
      <c r="GB42" s="327"/>
      <c r="GC42" s="327"/>
      <c r="GD42" s="327"/>
      <c r="GE42" s="327"/>
      <c r="GF42" s="327"/>
      <c r="GG42" s="327"/>
      <c r="GH42" s="327"/>
      <c r="GI42" s="327"/>
      <c r="GJ42" s="327"/>
      <c r="GK42" s="327"/>
      <c r="GL42" s="327"/>
      <c r="GM42" s="327"/>
      <c r="GN42" s="327"/>
      <c r="GO42" s="327"/>
      <c r="GP42" s="327"/>
      <c r="GQ42" s="327"/>
      <c r="GR42" s="327"/>
      <c r="GS42" s="327"/>
      <c r="GT42" s="327"/>
      <c r="GU42" s="327"/>
      <c r="GV42" s="327"/>
      <c r="GW42" s="327"/>
      <c r="GX42" s="327"/>
      <c r="GY42" s="327"/>
      <c r="GZ42" s="327"/>
      <c r="HA42" s="327"/>
      <c r="HB42" s="327"/>
      <c r="HC42" s="327"/>
      <c r="HD42" s="327"/>
      <c r="HE42" s="327"/>
      <c r="HF42" s="327"/>
      <c r="HG42" s="327"/>
      <c r="HH42" s="327"/>
      <c r="HI42" s="327"/>
      <c r="HJ42" s="327"/>
      <c r="HK42" s="327"/>
      <c r="HL42" s="327"/>
      <c r="HM42" s="327"/>
      <c r="HN42" s="327"/>
      <c r="HO42" s="327"/>
      <c r="HP42" s="327"/>
      <c r="HQ42" s="327"/>
      <c r="HR42" s="327"/>
      <c r="HS42" s="327"/>
      <c r="HT42" s="327"/>
      <c r="HU42" s="327"/>
      <c r="HV42" s="327"/>
      <c r="HW42" s="327"/>
      <c r="HX42" s="327"/>
      <c r="HY42" s="327"/>
      <c r="HZ42" s="327"/>
      <c r="IA42" s="327"/>
      <c r="IB42" s="327"/>
      <c r="IC42" s="327"/>
      <c r="ID42" s="327"/>
      <c r="IE42" s="327"/>
      <c r="IF42" s="327"/>
      <c r="IG42" s="327"/>
      <c r="IH42" s="327"/>
      <c r="II42" s="327"/>
      <c r="IJ42" s="327"/>
      <c r="IK42" s="327"/>
      <c r="IL42" s="327"/>
      <c r="IM42" s="327"/>
      <c r="IN42" s="327"/>
      <c r="IO42" s="327"/>
      <c r="IP42" s="327"/>
      <c r="IQ42" s="327"/>
      <c r="IR42" s="327"/>
      <c r="IS42" s="327"/>
      <c r="IT42" s="327"/>
      <c r="IU42" s="327"/>
      <c r="IV42" s="327"/>
      <c r="IW42" s="327"/>
    </row>
    <row r="43" customFormat="false" ht="12.75" hidden="false" customHeight="false" outlineLevel="0" collapsed="false">
      <c r="A43" s="331" t="s">
        <v>344</v>
      </c>
      <c r="B43" s="328"/>
      <c r="C43" s="314"/>
      <c r="D43" s="328"/>
      <c r="E43" s="329" t="n">
        <f aca="false">SUM(E18,-E34,E41)</f>
        <v>0</v>
      </c>
      <c r="F43" s="329" t="n">
        <f aca="false">SUM(F18,-F34,F41)</f>
        <v>0</v>
      </c>
      <c r="G43" s="329" t="n">
        <f aca="false">SUM(G18,-G34,G41)</f>
        <v>5065.69806652947</v>
      </c>
      <c r="H43" s="329" t="n">
        <f aca="false">SUM(H18,-H34,H41)</f>
        <v>8103.02736870335</v>
      </c>
      <c r="I43" s="329" t="n">
        <f aca="false">SUM(I18,-I34,I41)</f>
        <v>7652.96520800094</v>
      </c>
      <c r="J43" s="329" t="n">
        <f aca="false">SUM(J18,-J34,J41)</f>
        <v>12076.0963752407</v>
      </c>
      <c r="K43" s="329" t="n">
        <f aca="false">SUM(K18,-K34,K41)</f>
        <v>12539.6692530351</v>
      </c>
      <c r="L43" s="329" t="n">
        <f aca="false">SUM(L18,-L34,L41)</f>
        <v>12569.1594367273</v>
      </c>
      <c r="M43" s="329" t="n">
        <f aca="false">SUM(M18,-M34,M41)</f>
        <v>12751.9606758467</v>
      </c>
      <c r="N43" s="329" t="n">
        <f aca="false">SUM(N18,-N34,N41)</f>
        <v>12715.0533450063</v>
      </c>
      <c r="O43" s="329" t="n">
        <f aca="false">SUM(O18,-O34,O41)</f>
        <v>13083.3381152017</v>
      </c>
      <c r="P43" s="329" t="n">
        <f aca="false">SUM(P18,-P34,P41)</f>
        <v>13341.8334294997</v>
      </c>
      <c r="Q43" s="329" t="n">
        <f aca="false">SUM(Q18,-Q34,Q41)</f>
        <v>13880.4196620209</v>
      </c>
      <c r="R43" s="329" t="n">
        <f aca="false">SUM(R18,-R34,R41)</f>
        <v>14371.6797688588</v>
      </c>
      <c r="S43" s="329" t="n">
        <f aca="false">SUM(S18,-S34,S41)</f>
        <v>13501.5871785154</v>
      </c>
      <c r="T43" s="329" t="n">
        <f aca="false">SUM(T18,-T34,T41)</f>
        <v>15264.8177623756</v>
      </c>
      <c r="U43" s="329" t="n">
        <f aca="false">SUM(U18,-U34,U41)</f>
        <v>16100.3956245364</v>
      </c>
      <c r="V43" s="329" t="n">
        <f aca="false">SUM(V18,-V34,V41)</f>
        <v>17025.9498931628</v>
      </c>
      <c r="W43" s="329" t="n">
        <f aca="false">SUM(W18,-W34,W41)</f>
        <v>18121.4469657984</v>
      </c>
      <c r="X43" s="329" t="n">
        <f aca="false">SUM(X18,-X34,X41)</f>
        <v>19091.4211967255</v>
      </c>
      <c r="Y43" s="329" t="n">
        <f aca="false">SUM(Y18,-Y34,Y41)</f>
        <v>6402.97116530597</v>
      </c>
      <c r="Z43" s="330" t="n">
        <f aca="false">SUM(E43:Y43)</f>
        <v>243659.490491091</v>
      </c>
      <c r="AA43" s="327"/>
      <c r="AB43" s="136" t="n">
        <f aca="false">AB42+1</f>
        <v>37</v>
      </c>
      <c r="AC43" s="327"/>
      <c r="AD43" s="327"/>
      <c r="AE43" s="327"/>
      <c r="AF43" s="327"/>
      <c r="AG43" s="327"/>
      <c r="AH43" s="327"/>
      <c r="AI43" s="327"/>
      <c r="AJ43" s="327"/>
      <c r="AK43" s="327"/>
      <c r="AL43" s="327"/>
      <c r="AM43" s="327"/>
      <c r="AN43" s="327"/>
      <c r="AO43" s="327"/>
      <c r="AP43" s="327"/>
      <c r="AQ43" s="327"/>
      <c r="AR43" s="327"/>
      <c r="AS43" s="327"/>
      <c r="AT43" s="327"/>
      <c r="AU43" s="327"/>
      <c r="AV43" s="327"/>
      <c r="AW43" s="327"/>
      <c r="AX43" s="327"/>
      <c r="AY43" s="327"/>
      <c r="AZ43" s="327"/>
      <c r="BA43" s="327"/>
      <c r="BB43" s="327"/>
      <c r="BC43" s="327"/>
      <c r="BD43" s="327"/>
      <c r="BE43" s="327"/>
      <c r="BF43" s="327"/>
      <c r="BG43" s="327"/>
      <c r="BH43" s="327"/>
      <c r="BI43" s="327"/>
      <c r="BJ43" s="327"/>
      <c r="BK43" s="327"/>
      <c r="BL43" s="327"/>
      <c r="BM43" s="327"/>
      <c r="BN43" s="327"/>
      <c r="BO43" s="327"/>
      <c r="BP43" s="327"/>
      <c r="BQ43" s="327"/>
      <c r="BR43" s="327"/>
      <c r="BS43" s="327"/>
      <c r="BT43" s="327"/>
      <c r="BU43" s="327"/>
      <c r="BV43" s="327"/>
      <c r="BW43" s="327"/>
      <c r="BX43" s="327"/>
      <c r="BY43" s="327"/>
      <c r="BZ43" s="327"/>
      <c r="CA43" s="327"/>
      <c r="CB43" s="327"/>
      <c r="CC43" s="327"/>
      <c r="CD43" s="327"/>
      <c r="CE43" s="327"/>
      <c r="CF43" s="327"/>
      <c r="CG43" s="327"/>
      <c r="CH43" s="327"/>
      <c r="CI43" s="327"/>
      <c r="CJ43" s="327"/>
      <c r="CK43" s="327"/>
      <c r="CL43" s="327"/>
      <c r="CM43" s="327"/>
      <c r="CN43" s="327"/>
      <c r="CO43" s="327"/>
      <c r="CP43" s="327"/>
      <c r="CQ43" s="327"/>
      <c r="CR43" s="327"/>
      <c r="CS43" s="327"/>
      <c r="CT43" s="327"/>
      <c r="CU43" s="327"/>
      <c r="CV43" s="327"/>
      <c r="CW43" s="327"/>
      <c r="CX43" s="327"/>
      <c r="CY43" s="327"/>
      <c r="CZ43" s="327"/>
      <c r="DA43" s="327"/>
      <c r="DB43" s="327"/>
      <c r="DC43" s="327"/>
      <c r="DD43" s="327"/>
      <c r="DE43" s="327"/>
      <c r="DF43" s="327"/>
      <c r="DG43" s="327"/>
      <c r="DH43" s="327"/>
      <c r="DI43" s="327"/>
      <c r="DJ43" s="327"/>
      <c r="DK43" s="327"/>
      <c r="DL43" s="327"/>
      <c r="DM43" s="327"/>
      <c r="DN43" s="327"/>
      <c r="DO43" s="327"/>
      <c r="DP43" s="327"/>
      <c r="DQ43" s="327"/>
      <c r="DR43" s="327"/>
      <c r="DS43" s="327"/>
      <c r="DT43" s="327"/>
      <c r="DU43" s="327"/>
      <c r="DV43" s="327"/>
      <c r="DW43" s="327"/>
      <c r="DX43" s="327"/>
      <c r="DY43" s="327"/>
      <c r="DZ43" s="327"/>
      <c r="EA43" s="327"/>
      <c r="EB43" s="327"/>
      <c r="EC43" s="327"/>
      <c r="ED43" s="327"/>
      <c r="EE43" s="327"/>
      <c r="EF43" s="327"/>
      <c r="EG43" s="327"/>
      <c r="EH43" s="327"/>
      <c r="EI43" s="327"/>
      <c r="EJ43" s="327"/>
      <c r="EK43" s="327"/>
      <c r="EL43" s="327"/>
      <c r="EM43" s="327"/>
      <c r="EN43" s="327"/>
      <c r="EO43" s="327"/>
      <c r="EP43" s="327"/>
      <c r="EQ43" s="327"/>
      <c r="ER43" s="327"/>
      <c r="ES43" s="327"/>
      <c r="ET43" s="327"/>
      <c r="EU43" s="327"/>
      <c r="EV43" s="327"/>
      <c r="EW43" s="327"/>
      <c r="EX43" s="327"/>
      <c r="EY43" s="327"/>
      <c r="EZ43" s="327"/>
      <c r="FA43" s="327"/>
      <c r="FB43" s="327"/>
      <c r="FC43" s="327"/>
      <c r="FD43" s="327"/>
      <c r="FE43" s="327"/>
      <c r="FF43" s="327"/>
      <c r="FG43" s="327"/>
      <c r="FH43" s="327"/>
      <c r="FI43" s="327"/>
      <c r="FJ43" s="327"/>
      <c r="FK43" s="327"/>
      <c r="FL43" s="327"/>
      <c r="FM43" s="327"/>
      <c r="FN43" s="327"/>
      <c r="FO43" s="327"/>
      <c r="FP43" s="327"/>
      <c r="FQ43" s="327"/>
      <c r="FR43" s="327"/>
      <c r="FS43" s="327"/>
      <c r="FT43" s="327"/>
      <c r="FU43" s="327"/>
      <c r="FV43" s="327"/>
      <c r="FW43" s="327"/>
      <c r="FX43" s="327"/>
      <c r="FY43" s="327"/>
      <c r="FZ43" s="327"/>
      <c r="GA43" s="327"/>
      <c r="GB43" s="327"/>
      <c r="GC43" s="327"/>
      <c r="GD43" s="327"/>
      <c r="GE43" s="327"/>
      <c r="GF43" s="327"/>
      <c r="GG43" s="327"/>
      <c r="GH43" s="327"/>
      <c r="GI43" s="327"/>
      <c r="GJ43" s="327"/>
      <c r="GK43" s="327"/>
      <c r="GL43" s="327"/>
      <c r="GM43" s="327"/>
      <c r="GN43" s="327"/>
      <c r="GO43" s="327"/>
      <c r="GP43" s="327"/>
      <c r="GQ43" s="327"/>
      <c r="GR43" s="327"/>
      <c r="GS43" s="327"/>
      <c r="GT43" s="327"/>
      <c r="GU43" s="327"/>
      <c r="GV43" s="327"/>
      <c r="GW43" s="327"/>
      <c r="GX43" s="327"/>
      <c r="GY43" s="327"/>
      <c r="GZ43" s="327"/>
      <c r="HA43" s="327"/>
      <c r="HB43" s="327"/>
      <c r="HC43" s="327"/>
      <c r="HD43" s="327"/>
      <c r="HE43" s="327"/>
      <c r="HF43" s="327"/>
      <c r="HG43" s="327"/>
      <c r="HH43" s="327"/>
      <c r="HI43" s="327"/>
      <c r="HJ43" s="327"/>
      <c r="HK43" s="327"/>
      <c r="HL43" s="327"/>
      <c r="HM43" s="327"/>
      <c r="HN43" s="327"/>
      <c r="HO43" s="327"/>
      <c r="HP43" s="327"/>
      <c r="HQ43" s="327"/>
      <c r="HR43" s="327"/>
      <c r="HS43" s="327"/>
      <c r="HT43" s="327"/>
      <c r="HU43" s="327"/>
      <c r="HV43" s="327"/>
      <c r="HW43" s="327"/>
      <c r="HX43" s="327"/>
      <c r="HY43" s="327"/>
      <c r="HZ43" s="327"/>
      <c r="IA43" s="327"/>
      <c r="IB43" s="327"/>
      <c r="IC43" s="327"/>
      <c r="ID43" s="327"/>
      <c r="IE43" s="327"/>
      <c r="IF43" s="327"/>
      <c r="IG43" s="327"/>
      <c r="IH43" s="327"/>
      <c r="II43" s="327"/>
      <c r="IJ43" s="327"/>
      <c r="IK43" s="327"/>
      <c r="IL43" s="327"/>
      <c r="IM43" s="327"/>
      <c r="IN43" s="327"/>
      <c r="IO43" s="327"/>
      <c r="IP43" s="327"/>
      <c r="IQ43" s="327"/>
      <c r="IR43" s="327"/>
      <c r="IS43" s="327"/>
      <c r="IT43" s="327"/>
      <c r="IU43" s="327"/>
      <c r="IV43" s="327"/>
      <c r="IW43" s="327"/>
    </row>
    <row r="44" customFormat="false" ht="12.75" hidden="false" customHeight="false" outlineLevel="0" collapsed="false">
      <c r="A44" s="313"/>
      <c r="B44" s="314" t="s">
        <v>345</v>
      </c>
      <c r="C44" s="328"/>
      <c r="D44" s="314"/>
      <c r="E44" s="325" t="n">
        <f aca="false">-Depr!H31</f>
        <v>-0</v>
      </c>
      <c r="F44" s="325" t="n">
        <f aca="false">-Depr!I31</f>
        <v>-0</v>
      </c>
      <c r="G44" s="325" t="n">
        <f aca="false">-Depr!J31</f>
        <v>-5267.16686015385</v>
      </c>
      <c r="H44" s="325" t="n">
        <f aca="false">-Depr!K31</f>
        <v>-6320.60023218462</v>
      </c>
      <c r="I44" s="325" t="n">
        <f aca="false">-Depr!L31</f>
        <v>-6320.60023218462</v>
      </c>
      <c r="J44" s="325" t="n">
        <f aca="false">-Depr!M31</f>
        <v>-6320.60023218462</v>
      </c>
      <c r="K44" s="325" t="n">
        <f aca="false">-Depr!N31</f>
        <v>-6320.60023218462</v>
      </c>
      <c r="L44" s="325" t="n">
        <f aca="false">-Depr!O31</f>
        <v>-6320.60023218462</v>
      </c>
      <c r="M44" s="325" t="n">
        <f aca="false">-Depr!P31</f>
        <v>-6320.60023218462</v>
      </c>
      <c r="N44" s="325" t="n">
        <f aca="false">-Depr!Q31</f>
        <v>-6320.60023218462</v>
      </c>
      <c r="O44" s="325" t="n">
        <f aca="false">-Depr!R31</f>
        <v>-6320.60023218462</v>
      </c>
      <c r="P44" s="325" t="n">
        <f aca="false">-Depr!S31</f>
        <v>-6320.60023218462</v>
      </c>
      <c r="Q44" s="325" t="n">
        <f aca="false">-Depr!T31</f>
        <v>-6320.60023218462</v>
      </c>
      <c r="R44" s="325" t="n">
        <f aca="false">-Depr!U31</f>
        <v>-6320.60023218462</v>
      </c>
      <c r="S44" s="325" t="n">
        <f aca="false">-Depr!V31</f>
        <v>-6320.60023218462</v>
      </c>
      <c r="T44" s="325" t="n">
        <f aca="false">-Depr!W31</f>
        <v>-6320.60023218462</v>
      </c>
      <c r="U44" s="325" t="n">
        <f aca="false">-Depr!X31</f>
        <v>-6320.60023218462</v>
      </c>
      <c r="V44" s="325" t="n">
        <f aca="false">-Depr!Y31</f>
        <v>-6320.60023218462</v>
      </c>
      <c r="W44" s="325" t="n">
        <f aca="false">-Depr!Z31</f>
        <v>-6320.60023218462</v>
      </c>
      <c r="X44" s="325" t="n">
        <f aca="false">-Depr!AA31</f>
        <v>-6320.60023218462</v>
      </c>
      <c r="Y44" s="325" t="n">
        <f aca="false">-Depr!AB31</f>
        <v>-2106.86674406154</v>
      </c>
      <c r="Z44" s="326" t="n">
        <f aca="false">SUM(E44:Y44)</f>
        <v>-114824.237551354</v>
      </c>
      <c r="AA44" s="332"/>
      <c r="AB44" s="136" t="n">
        <f aca="false">AB43+1</f>
        <v>38</v>
      </c>
      <c r="AC44" s="332"/>
      <c r="AD44" s="332"/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  <c r="AP44" s="332"/>
      <c r="AQ44" s="332"/>
      <c r="AR44" s="332"/>
      <c r="AS44" s="332"/>
      <c r="AT44" s="332"/>
      <c r="AU44" s="332"/>
      <c r="AV44" s="332"/>
      <c r="AW44" s="332"/>
      <c r="AX44" s="332"/>
      <c r="AY44" s="332"/>
      <c r="AZ44" s="332"/>
      <c r="BA44" s="332"/>
      <c r="BB44" s="332"/>
      <c r="BC44" s="332"/>
      <c r="BD44" s="332"/>
      <c r="BE44" s="332"/>
      <c r="BF44" s="332"/>
      <c r="BG44" s="332"/>
      <c r="BH44" s="332"/>
      <c r="BI44" s="332"/>
      <c r="BJ44" s="332"/>
      <c r="BK44" s="332"/>
      <c r="BL44" s="332"/>
      <c r="BM44" s="332"/>
      <c r="BN44" s="332"/>
      <c r="BO44" s="332"/>
      <c r="BP44" s="332"/>
      <c r="BQ44" s="332"/>
      <c r="BR44" s="332"/>
      <c r="BS44" s="332"/>
      <c r="BT44" s="332"/>
      <c r="BU44" s="332"/>
      <c r="BV44" s="332"/>
      <c r="BW44" s="332"/>
      <c r="BX44" s="332"/>
      <c r="BY44" s="332"/>
      <c r="BZ44" s="332"/>
      <c r="CA44" s="332"/>
      <c r="CB44" s="332"/>
      <c r="CC44" s="332"/>
      <c r="CD44" s="332"/>
      <c r="CE44" s="332"/>
      <c r="CF44" s="332"/>
      <c r="CG44" s="332"/>
      <c r="CH44" s="332"/>
      <c r="CI44" s="332"/>
      <c r="CJ44" s="332"/>
      <c r="CK44" s="332"/>
      <c r="CL44" s="332"/>
      <c r="CM44" s="332"/>
      <c r="CN44" s="332"/>
      <c r="CO44" s="332"/>
      <c r="CP44" s="332"/>
      <c r="CQ44" s="332"/>
      <c r="CR44" s="332"/>
      <c r="CS44" s="332"/>
      <c r="CT44" s="332"/>
      <c r="CU44" s="332"/>
      <c r="CV44" s="332"/>
      <c r="CW44" s="332"/>
      <c r="CX44" s="332"/>
      <c r="CY44" s="332"/>
      <c r="CZ44" s="332"/>
      <c r="DA44" s="332"/>
      <c r="DB44" s="332"/>
      <c r="DC44" s="332"/>
      <c r="DD44" s="332"/>
      <c r="DE44" s="332"/>
      <c r="DF44" s="332"/>
      <c r="DG44" s="332"/>
      <c r="DH44" s="332"/>
      <c r="DI44" s="332"/>
      <c r="DJ44" s="332"/>
      <c r="DK44" s="332"/>
      <c r="DL44" s="332"/>
      <c r="DM44" s="332"/>
      <c r="DN44" s="332"/>
      <c r="DO44" s="332"/>
      <c r="DP44" s="332"/>
      <c r="DQ44" s="332"/>
      <c r="DR44" s="332"/>
      <c r="DS44" s="332"/>
      <c r="DT44" s="332"/>
      <c r="DU44" s="332"/>
      <c r="DV44" s="332"/>
      <c r="DW44" s="332"/>
      <c r="DX44" s="332"/>
      <c r="DY44" s="332"/>
      <c r="DZ44" s="332"/>
      <c r="EA44" s="332"/>
      <c r="EB44" s="332"/>
      <c r="EC44" s="332"/>
      <c r="ED44" s="332"/>
      <c r="EE44" s="332"/>
      <c r="EF44" s="332"/>
      <c r="EG44" s="332"/>
      <c r="EH44" s="332"/>
      <c r="EI44" s="332"/>
      <c r="EJ44" s="332"/>
      <c r="EK44" s="332"/>
      <c r="EL44" s="332"/>
      <c r="EM44" s="332"/>
      <c r="EN44" s="332"/>
      <c r="EO44" s="332"/>
      <c r="EP44" s="332"/>
      <c r="EQ44" s="332"/>
      <c r="ER44" s="332"/>
      <c r="ES44" s="332"/>
      <c r="ET44" s="332"/>
      <c r="EU44" s="332"/>
      <c r="EV44" s="332"/>
      <c r="EW44" s="332"/>
      <c r="EX44" s="332"/>
      <c r="EY44" s="332"/>
      <c r="EZ44" s="332"/>
      <c r="FA44" s="332"/>
      <c r="FB44" s="332"/>
      <c r="FC44" s="332"/>
      <c r="FD44" s="332"/>
      <c r="FE44" s="332"/>
      <c r="FF44" s="332"/>
      <c r="FG44" s="332"/>
      <c r="FH44" s="332"/>
      <c r="FI44" s="332"/>
      <c r="FJ44" s="332"/>
      <c r="FK44" s="332"/>
      <c r="FL44" s="332"/>
      <c r="FM44" s="332"/>
      <c r="FN44" s="332"/>
      <c r="FO44" s="332"/>
      <c r="FP44" s="332"/>
      <c r="FQ44" s="332"/>
      <c r="FR44" s="332"/>
      <c r="FS44" s="332"/>
      <c r="FT44" s="332"/>
      <c r="FU44" s="332"/>
      <c r="FV44" s="332"/>
      <c r="FW44" s="332"/>
      <c r="FX44" s="332"/>
      <c r="FY44" s="332"/>
      <c r="FZ44" s="332"/>
      <c r="GA44" s="332"/>
      <c r="GB44" s="332"/>
      <c r="GC44" s="332"/>
      <c r="GD44" s="332"/>
      <c r="GE44" s="332"/>
      <c r="GF44" s="332"/>
      <c r="GG44" s="332"/>
      <c r="GH44" s="332"/>
      <c r="GI44" s="332"/>
      <c r="GJ44" s="332"/>
      <c r="GK44" s="332"/>
      <c r="GL44" s="332"/>
      <c r="GM44" s="332"/>
      <c r="GN44" s="332"/>
      <c r="GO44" s="332"/>
      <c r="GP44" s="332"/>
      <c r="GQ44" s="332"/>
      <c r="GR44" s="332"/>
      <c r="GS44" s="332"/>
      <c r="GT44" s="332"/>
      <c r="GU44" s="332"/>
      <c r="GV44" s="332"/>
      <c r="GW44" s="332"/>
      <c r="GX44" s="332"/>
      <c r="GY44" s="332"/>
      <c r="GZ44" s="332"/>
      <c r="HA44" s="332"/>
      <c r="HB44" s="332"/>
      <c r="HC44" s="332"/>
      <c r="HD44" s="332"/>
      <c r="HE44" s="332"/>
      <c r="HF44" s="332"/>
      <c r="HG44" s="332"/>
      <c r="HH44" s="332"/>
      <c r="HI44" s="332"/>
      <c r="HJ44" s="332"/>
      <c r="HK44" s="332"/>
      <c r="HL44" s="332"/>
      <c r="HM44" s="332"/>
      <c r="HN44" s="332"/>
      <c r="HO44" s="332"/>
      <c r="HP44" s="332"/>
      <c r="HQ44" s="332"/>
      <c r="HR44" s="332"/>
      <c r="HS44" s="332"/>
      <c r="HT44" s="332"/>
      <c r="HU44" s="332"/>
      <c r="HV44" s="332"/>
      <c r="HW44" s="332"/>
      <c r="HX44" s="332"/>
      <c r="HY44" s="332"/>
      <c r="HZ44" s="332"/>
      <c r="IA44" s="332"/>
      <c r="IB44" s="332"/>
      <c r="IC44" s="332"/>
      <c r="ID44" s="332"/>
      <c r="IE44" s="332"/>
      <c r="IF44" s="332"/>
      <c r="IG44" s="332"/>
      <c r="IH44" s="332"/>
      <c r="II44" s="332"/>
      <c r="IJ44" s="332"/>
      <c r="IK44" s="332"/>
      <c r="IL44" s="332"/>
      <c r="IM44" s="332"/>
      <c r="IN44" s="332"/>
      <c r="IO44" s="332"/>
      <c r="IP44" s="332"/>
      <c r="IQ44" s="332"/>
      <c r="IR44" s="332"/>
      <c r="IS44" s="332"/>
      <c r="IT44" s="332"/>
      <c r="IU44" s="332"/>
      <c r="IV44" s="332"/>
      <c r="IW44" s="332"/>
    </row>
    <row r="45" customFormat="false" ht="12.75" hidden="false" customHeight="false" outlineLevel="0" collapsed="false">
      <c r="A45" s="313"/>
      <c r="B45" s="314"/>
      <c r="C45" s="328"/>
      <c r="D45" s="314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6"/>
      <c r="AA45" s="332"/>
      <c r="AB45" s="136" t="n">
        <f aca="false">AB44+1</f>
        <v>39</v>
      </c>
      <c r="AC45" s="332"/>
      <c r="AD45" s="332"/>
      <c r="AE45" s="332"/>
      <c r="AF45" s="332"/>
      <c r="AG45" s="332"/>
      <c r="AH45" s="332"/>
      <c r="AI45" s="332"/>
      <c r="AJ45" s="332"/>
      <c r="AK45" s="332"/>
      <c r="AL45" s="332"/>
      <c r="AM45" s="332"/>
      <c r="AN45" s="332"/>
      <c r="AO45" s="332"/>
      <c r="AP45" s="332"/>
      <c r="AQ45" s="332"/>
      <c r="AR45" s="332"/>
      <c r="AS45" s="332"/>
      <c r="AT45" s="332"/>
      <c r="AU45" s="332"/>
      <c r="AV45" s="332"/>
      <c r="AW45" s="332"/>
      <c r="AX45" s="332"/>
      <c r="AY45" s="332"/>
      <c r="AZ45" s="332"/>
      <c r="BA45" s="332"/>
      <c r="BB45" s="332"/>
      <c r="BC45" s="332"/>
      <c r="BD45" s="332"/>
      <c r="BE45" s="332"/>
      <c r="BF45" s="332"/>
      <c r="BG45" s="332"/>
      <c r="BH45" s="332"/>
      <c r="BI45" s="332"/>
      <c r="BJ45" s="332"/>
      <c r="BK45" s="332"/>
      <c r="BL45" s="332"/>
      <c r="BM45" s="332"/>
      <c r="BN45" s="332"/>
      <c r="BO45" s="332"/>
      <c r="BP45" s="332"/>
      <c r="BQ45" s="332"/>
      <c r="BR45" s="332"/>
      <c r="BS45" s="332"/>
      <c r="BT45" s="332"/>
      <c r="BU45" s="332"/>
      <c r="BV45" s="332"/>
      <c r="BW45" s="332"/>
      <c r="BX45" s="332"/>
      <c r="BY45" s="332"/>
      <c r="BZ45" s="332"/>
      <c r="CA45" s="332"/>
      <c r="CB45" s="332"/>
      <c r="CC45" s="332"/>
      <c r="CD45" s="332"/>
      <c r="CE45" s="332"/>
      <c r="CF45" s="332"/>
      <c r="CG45" s="332"/>
      <c r="CH45" s="332"/>
      <c r="CI45" s="332"/>
      <c r="CJ45" s="332"/>
      <c r="CK45" s="332"/>
      <c r="CL45" s="332"/>
      <c r="CM45" s="332"/>
      <c r="CN45" s="332"/>
      <c r="CO45" s="332"/>
      <c r="CP45" s="332"/>
      <c r="CQ45" s="332"/>
      <c r="CR45" s="332"/>
      <c r="CS45" s="332"/>
      <c r="CT45" s="332"/>
      <c r="CU45" s="332"/>
      <c r="CV45" s="332"/>
      <c r="CW45" s="332"/>
      <c r="CX45" s="332"/>
      <c r="CY45" s="332"/>
      <c r="CZ45" s="332"/>
      <c r="DA45" s="332"/>
      <c r="DB45" s="332"/>
      <c r="DC45" s="332"/>
      <c r="DD45" s="332"/>
      <c r="DE45" s="332"/>
      <c r="DF45" s="332"/>
      <c r="DG45" s="332"/>
      <c r="DH45" s="332"/>
      <c r="DI45" s="332"/>
      <c r="DJ45" s="332"/>
      <c r="DK45" s="332"/>
      <c r="DL45" s="332"/>
      <c r="DM45" s="332"/>
      <c r="DN45" s="332"/>
      <c r="DO45" s="332"/>
      <c r="DP45" s="332"/>
      <c r="DQ45" s="332"/>
      <c r="DR45" s="332"/>
      <c r="DS45" s="332"/>
      <c r="DT45" s="332"/>
      <c r="DU45" s="332"/>
      <c r="DV45" s="332"/>
      <c r="DW45" s="332"/>
      <c r="DX45" s="332"/>
      <c r="DY45" s="332"/>
      <c r="DZ45" s="332"/>
      <c r="EA45" s="332"/>
      <c r="EB45" s="332"/>
      <c r="EC45" s="332"/>
      <c r="ED45" s="332"/>
      <c r="EE45" s="332"/>
      <c r="EF45" s="332"/>
      <c r="EG45" s="332"/>
      <c r="EH45" s="332"/>
      <c r="EI45" s="332"/>
      <c r="EJ45" s="332"/>
      <c r="EK45" s="332"/>
      <c r="EL45" s="332"/>
      <c r="EM45" s="332"/>
      <c r="EN45" s="332"/>
      <c r="EO45" s="332"/>
      <c r="EP45" s="332"/>
      <c r="EQ45" s="332"/>
      <c r="ER45" s="332"/>
      <c r="ES45" s="332"/>
      <c r="ET45" s="332"/>
      <c r="EU45" s="332"/>
      <c r="EV45" s="332"/>
      <c r="EW45" s="332"/>
      <c r="EX45" s="332"/>
      <c r="EY45" s="332"/>
      <c r="EZ45" s="332"/>
      <c r="FA45" s="332"/>
      <c r="FB45" s="332"/>
      <c r="FC45" s="332"/>
      <c r="FD45" s="332"/>
      <c r="FE45" s="332"/>
      <c r="FF45" s="332"/>
      <c r="FG45" s="332"/>
      <c r="FH45" s="332"/>
      <c r="FI45" s="332"/>
      <c r="FJ45" s="332"/>
      <c r="FK45" s="332"/>
      <c r="FL45" s="332"/>
      <c r="FM45" s="332"/>
      <c r="FN45" s="332"/>
      <c r="FO45" s="332"/>
      <c r="FP45" s="332"/>
      <c r="FQ45" s="332"/>
      <c r="FR45" s="332"/>
      <c r="FS45" s="332"/>
      <c r="FT45" s="332"/>
      <c r="FU45" s="332"/>
      <c r="FV45" s="332"/>
      <c r="FW45" s="332"/>
      <c r="FX45" s="332"/>
      <c r="FY45" s="332"/>
      <c r="FZ45" s="332"/>
      <c r="GA45" s="332"/>
      <c r="GB45" s="332"/>
      <c r="GC45" s="332"/>
      <c r="GD45" s="332"/>
      <c r="GE45" s="332"/>
      <c r="GF45" s="332"/>
      <c r="GG45" s="332"/>
      <c r="GH45" s="332"/>
      <c r="GI45" s="332"/>
      <c r="GJ45" s="332"/>
      <c r="GK45" s="332"/>
      <c r="GL45" s="332"/>
      <c r="GM45" s="332"/>
      <c r="GN45" s="332"/>
      <c r="GO45" s="332"/>
      <c r="GP45" s="332"/>
      <c r="GQ45" s="332"/>
      <c r="GR45" s="332"/>
      <c r="GS45" s="332"/>
      <c r="GT45" s="332"/>
      <c r="GU45" s="332"/>
      <c r="GV45" s="332"/>
      <c r="GW45" s="332"/>
      <c r="GX45" s="332"/>
      <c r="GY45" s="332"/>
      <c r="GZ45" s="332"/>
      <c r="HA45" s="332"/>
      <c r="HB45" s="332"/>
      <c r="HC45" s="332"/>
      <c r="HD45" s="332"/>
      <c r="HE45" s="332"/>
      <c r="HF45" s="332"/>
      <c r="HG45" s="332"/>
      <c r="HH45" s="332"/>
      <c r="HI45" s="332"/>
      <c r="HJ45" s="332"/>
      <c r="HK45" s="332"/>
      <c r="HL45" s="332"/>
      <c r="HM45" s="332"/>
      <c r="HN45" s="332"/>
      <c r="HO45" s="332"/>
      <c r="HP45" s="332"/>
      <c r="HQ45" s="332"/>
      <c r="HR45" s="332"/>
      <c r="HS45" s="332"/>
      <c r="HT45" s="332"/>
      <c r="HU45" s="332"/>
      <c r="HV45" s="332"/>
      <c r="HW45" s="332"/>
      <c r="HX45" s="332"/>
      <c r="HY45" s="332"/>
      <c r="HZ45" s="332"/>
      <c r="IA45" s="332"/>
      <c r="IB45" s="332"/>
      <c r="IC45" s="332"/>
      <c r="ID45" s="332"/>
      <c r="IE45" s="332"/>
      <c r="IF45" s="332"/>
      <c r="IG45" s="332"/>
      <c r="IH45" s="332"/>
      <c r="II45" s="332"/>
      <c r="IJ45" s="332"/>
      <c r="IK45" s="332"/>
      <c r="IL45" s="332"/>
      <c r="IM45" s="332"/>
      <c r="IN45" s="332"/>
      <c r="IO45" s="332"/>
      <c r="IP45" s="332"/>
      <c r="IQ45" s="332"/>
      <c r="IR45" s="332"/>
      <c r="IS45" s="332"/>
      <c r="IT45" s="332"/>
      <c r="IU45" s="332"/>
      <c r="IV45" s="332"/>
      <c r="IW45" s="332"/>
    </row>
    <row r="46" customFormat="false" ht="12.75" hidden="false" customHeight="false" outlineLevel="0" collapsed="false">
      <c r="A46" s="331" t="s">
        <v>346</v>
      </c>
      <c r="B46" s="328"/>
      <c r="C46" s="314"/>
      <c r="D46" s="328"/>
      <c r="E46" s="329" t="n">
        <f aca="false">SUM(E43:E44)</f>
        <v>0</v>
      </c>
      <c r="F46" s="329" t="n">
        <f aca="false">SUM(F43:F44)</f>
        <v>0</v>
      </c>
      <c r="G46" s="329" t="n">
        <f aca="false">SUM(G43:G44)</f>
        <v>-201.46879362438</v>
      </c>
      <c r="H46" s="329" t="n">
        <f aca="false">SUM(H43:H44)</f>
        <v>1782.42713651873</v>
      </c>
      <c r="I46" s="329" t="n">
        <f aca="false">SUM(I43:I44)</f>
        <v>1332.36497581632</v>
      </c>
      <c r="J46" s="329" t="n">
        <f aca="false">SUM(J43:J44)</f>
        <v>5755.4961430561</v>
      </c>
      <c r="K46" s="329" t="n">
        <f aca="false">SUM(K43:K44)</f>
        <v>6219.06902085051</v>
      </c>
      <c r="L46" s="329" t="n">
        <f aca="false">SUM(L43:L44)</f>
        <v>6248.55920454268</v>
      </c>
      <c r="M46" s="329" t="n">
        <f aca="false">SUM(M43:M44)</f>
        <v>6431.36044366213</v>
      </c>
      <c r="N46" s="329" t="n">
        <f aca="false">SUM(N43:N44)</f>
        <v>6394.45311282172</v>
      </c>
      <c r="O46" s="329" t="n">
        <f aca="false">SUM(O43:O44)</f>
        <v>6762.73788301705</v>
      </c>
      <c r="P46" s="329" t="n">
        <f aca="false">SUM(P43:P44)</f>
        <v>7021.23319731504</v>
      </c>
      <c r="Q46" s="329" t="n">
        <f aca="false">SUM(Q43:Q44)</f>
        <v>7559.81942983629</v>
      </c>
      <c r="R46" s="329" t="n">
        <f aca="false">SUM(R43:R44)</f>
        <v>8051.07953667421</v>
      </c>
      <c r="S46" s="329" t="n">
        <f aca="false">SUM(S43:S44)</f>
        <v>7180.98694633079</v>
      </c>
      <c r="T46" s="329" t="n">
        <f aca="false">SUM(T43:T44)</f>
        <v>8944.21753019102</v>
      </c>
      <c r="U46" s="329" t="n">
        <f aca="false">SUM(U43:U44)</f>
        <v>9779.79539235181</v>
      </c>
      <c r="V46" s="329" t="n">
        <f aca="false">SUM(V43:V44)</f>
        <v>10705.3496609782</v>
      </c>
      <c r="W46" s="329" t="n">
        <f aca="false">SUM(W43:W44)</f>
        <v>11800.8467336138</v>
      </c>
      <c r="X46" s="329" t="n">
        <f aca="false">SUM(X43:X44)</f>
        <v>12770.8209645409</v>
      </c>
      <c r="Y46" s="329" t="n">
        <f aca="false">SUM(Y43:Y44)</f>
        <v>4296.10442124443</v>
      </c>
      <c r="Z46" s="330" t="n">
        <f aca="false">SUM(E46:Y46)</f>
        <v>128835.252939737</v>
      </c>
      <c r="AA46" s="327"/>
      <c r="AB46" s="136" t="n">
        <f aca="false">AB45+1</f>
        <v>40</v>
      </c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7"/>
      <c r="BS46" s="327"/>
      <c r="BT46" s="327"/>
      <c r="BU46" s="327"/>
      <c r="BV46" s="327"/>
      <c r="BW46" s="327"/>
      <c r="BX46" s="327"/>
      <c r="BY46" s="327"/>
      <c r="BZ46" s="327"/>
      <c r="CA46" s="327"/>
      <c r="CB46" s="327"/>
      <c r="CC46" s="327"/>
      <c r="CD46" s="327"/>
      <c r="CE46" s="327"/>
      <c r="CF46" s="327"/>
      <c r="CG46" s="327"/>
      <c r="CH46" s="327"/>
      <c r="CI46" s="327"/>
      <c r="CJ46" s="327"/>
      <c r="CK46" s="327"/>
      <c r="CL46" s="327"/>
      <c r="CM46" s="327"/>
      <c r="CN46" s="327"/>
      <c r="CO46" s="327"/>
      <c r="CP46" s="327"/>
      <c r="CQ46" s="327"/>
      <c r="CR46" s="327"/>
      <c r="CS46" s="327"/>
      <c r="CT46" s="327"/>
      <c r="CU46" s="327"/>
      <c r="CV46" s="327"/>
      <c r="CW46" s="327"/>
      <c r="CX46" s="327"/>
      <c r="CY46" s="327"/>
      <c r="CZ46" s="327"/>
      <c r="DA46" s="327"/>
      <c r="DB46" s="327"/>
      <c r="DC46" s="327"/>
      <c r="DD46" s="327"/>
      <c r="DE46" s="327"/>
      <c r="DF46" s="327"/>
      <c r="DG46" s="327"/>
      <c r="DH46" s="327"/>
      <c r="DI46" s="327"/>
      <c r="DJ46" s="327"/>
      <c r="DK46" s="327"/>
      <c r="DL46" s="327"/>
      <c r="DM46" s="327"/>
      <c r="DN46" s="327"/>
      <c r="DO46" s="327"/>
      <c r="DP46" s="327"/>
      <c r="DQ46" s="327"/>
      <c r="DR46" s="327"/>
      <c r="DS46" s="327"/>
      <c r="DT46" s="327"/>
      <c r="DU46" s="327"/>
      <c r="DV46" s="327"/>
      <c r="DW46" s="327"/>
      <c r="DX46" s="327"/>
      <c r="DY46" s="327"/>
      <c r="DZ46" s="327"/>
      <c r="EA46" s="327"/>
      <c r="EB46" s="327"/>
      <c r="EC46" s="327"/>
      <c r="ED46" s="327"/>
      <c r="EE46" s="327"/>
      <c r="EF46" s="327"/>
      <c r="EG46" s="327"/>
      <c r="EH46" s="327"/>
      <c r="EI46" s="327"/>
      <c r="EJ46" s="327"/>
      <c r="EK46" s="327"/>
      <c r="EL46" s="327"/>
      <c r="EM46" s="327"/>
      <c r="EN46" s="327"/>
      <c r="EO46" s="327"/>
      <c r="EP46" s="327"/>
      <c r="EQ46" s="327"/>
      <c r="ER46" s="327"/>
      <c r="ES46" s="327"/>
      <c r="ET46" s="327"/>
      <c r="EU46" s="327"/>
      <c r="EV46" s="327"/>
      <c r="EW46" s="327"/>
      <c r="EX46" s="327"/>
      <c r="EY46" s="327"/>
      <c r="EZ46" s="327"/>
      <c r="FA46" s="327"/>
      <c r="FB46" s="327"/>
      <c r="FC46" s="327"/>
      <c r="FD46" s="327"/>
      <c r="FE46" s="327"/>
      <c r="FF46" s="327"/>
      <c r="FG46" s="327"/>
      <c r="FH46" s="327"/>
      <c r="FI46" s="327"/>
      <c r="FJ46" s="327"/>
      <c r="FK46" s="327"/>
      <c r="FL46" s="327"/>
      <c r="FM46" s="327"/>
      <c r="FN46" s="327"/>
      <c r="FO46" s="327"/>
      <c r="FP46" s="327"/>
      <c r="FQ46" s="327"/>
      <c r="FR46" s="327"/>
      <c r="FS46" s="327"/>
      <c r="FT46" s="327"/>
      <c r="FU46" s="327"/>
      <c r="FV46" s="327"/>
      <c r="FW46" s="327"/>
      <c r="FX46" s="327"/>
      <c r="FY46" s="327"/>
      <c r="FZ46" s="327"/>
      <c r="GA46" s="327"/>
      <c r="GB46" s="327"/>
      <c r="GC46" s="327"/>
      <c r="GD46" s="327"/>
      <c r="GE46" s="327"/>
      <c r="GF46" s="327"/>
      <c r="GG46" s="327"/>
      <c r="GH46" s="327"/>
      <c r="GI46" s="327"/>
      <c r="GJ46" s="327"/>
      <c r="GK46" s="327"/>
      <c r="GL46" s="327"/>
      <c r="GM46" s="327"/>
      <c r="GN46" s="327"/>
      <c r="GO46" s="327"/>
      <c r="GP46" s="327"/>
      <c r="GQ46" s="327"/>
      <c r="GR46" s="327"/>
      <c r="GS46" s="327"/>
      <c r="GT46" s="327"/>
      <c r="GU46" s="327"/>
      <c r="GV46" s="327"/>
      <c r="GW46" s="327"/>
      <c r="GX46" s="327"/>
      <c r="GY46" s="327"/>
      <c r="GZ46" s="327"/>
      <c r="HA46" s="327"/>
      <c r="HB46" s="327"/>
      <c r="HC46" s="327"/>
      <c r="HD46" s="327"/>
      <c r="HE46" s="327"/>
      <c r="HF46" s="327"/>
      <c r="HG46" s="327"/>
      <c r="HH46" s="327"/>
      <c r="HI46" s="327"/>
      <c r="HJ46" s="327"/>
      <c r="HK46" s="327"/>
      <c r="HL46" s="327"/>
      <c r="HM46" s="327"/>
      <c r="HN46" s="327"/>
      <c r="HO46" s="327"/>
      <c r="HP46" s="327"/>
      <c r="HQ46" s="327"/>
      <c r="HR46" s="327"/>
      <c r="HS46" s="327"/>
      <c r="HT46" s="327"/>
      <c r="HU46" s="327"/>
      <c r="HV46" s="327"/>
      <c r="HW46" s="327"/>
      <c r="HX46" s="327"/>
      <c r="HY46" s="327"/>
      <c r="HZ46" s="327"/>
      <c r="IA46" s="327"/>
      <c r="IB46" s="327"/>
      <c r="IC46" s="327"/>
      <c r="ID46" s="327"/>
      <c r="IE46" s="327"/>
      <c r="IF46" s="327"/>
      <c r="IG46" s="327"/>
      <c r="IH46" s="327"/>
      <c r="II46" s="327"/>
      <c r="IJ46" s="327"/>
      <c r="IK46" s="327"/>
      <c r="IL46" s="327"/>
      <c r="IM46" s="327"/>
      <c r="IN46" s="327"/>
      <c r="IO46" s="327"/>
      <c r="IP46" s="327"/>
      <c r="IQ46" s="327"/>
      <c r="IR46" s="327"/>
      <c r="IS46" s="327"/>
      <c r="IT46" s="327"/>
      <c r="IU46" s="327"/>
      <c r="IV46" s="327"/>
      <c r="IW46" s="327"/>
    </row>
    <row r="47" customFormat="false" ht="12.75" hidden="false" customHeight="false" outlineLevel="0" collapsed="false">
      <c r="A47" s="313"/>
      <c r="B47" s="314" t="s">
        <v>347</v>
      </c>
      <c r="C47" s="328"/>
      <c r="D47" s="314"/>
      <c r="E47" s="316" t="n">
        <f aca="false">-'Debt Amort'!E12</f>
        <v>-0</v>
      </c>
      <c r="F47" s="316" t="n">
        <f aca="false">-'Debt Amort'!F12</f>
        <v>-0</v>
      </c>
      <c r="G47" s="316" t="n">
        <f aca="false">-'Debt Amort'!G12</f>
        <v>-3484.30006534666</v>
      </c>
      <c r="H47" s="316" t="n">
        <f aca="false">-'Debt Amort'!H12</f>
        <v>-8330.96444278677</v>
      </c>
      <c r="I47" s="316" t="n">
        <f aca="false">-'Debt Amort'!I12</f>
        <v>-8183.73683679701</v>
      </c>
      <c r="J47" s="316" t="n">
        <f aca="false">-'Debt Amort'!J12</f>
        <v>-7874.92829957685</v>
      </c>
      <c r="K47" s="316" t="n">
        <f aca="false">-'Debt Amort'!K12</f>
        <v>-7246.88619934103</v>
      </c>
      <c r="L47" s="316" t="n">
        <f aca="false">-'Debt Amort'!L12</f>
        <v>-6469.57071121993</v>
      </c>
      <c r="M47" s="316" t="n">
        <f aca="false">-'Debt Amort'!M12</f>
        <v>-5579.15484297768</v>
      </c>
      <c r="N47" s="316" t="n">
        <f aca="false">-'Debt Amort'!N12</f>
        <v>-4657.38027414731</v>
      </c>
      <c r="O47" s="316" t="n">
        <f aca="false">-'Debt Amort'!O12</f>
        <v>-4069.26227957454</v>
      </c>
      <c r="P47" s="316" t="n">
        <f aca="false">-'Debt Amort'!P12</f>
        <v>-3592.36314308763</v>
      </c>
      <c r="Q47" s="316" t="n">
        <f aca="false">-'Debt Amort'!Q12</f>
        <v>-3115.46400660072</v>
      </c>
      <c r="R47" s="316" t="n">
        <f aca="false">-'Debt Amort'!R12</f>
        <v>-2471.73658298501</v>
      </c>
      <c r="S47" s="316" t="n">
        <f aca="false">-'Debt Amort'!S12</f>
        <v>-1772.39973032637</v>
      </c>
      <c r="T47" s="316" t="n">
        <f aca="false">-'Debt Amort'!T12</f>
        <v>-1073.06287766773</v>
      </c>
      <c r="U47" s="316" t="n">
        <f aca="false">-'Debt Amort'!U12</f>
        <v>-326.687974126908</v>
      </c>
      <c r="V47" s="316" t="n">
        <f aca="false">-'Debt Amort'!V12</f>
        <v>-0</v>
      </c>
      <c r="W47" s="316" t="n">
        <f aca="false">-'Debt Amort'!W12</f>
        <v>-0</v>
      </c>
      <c r="X47" s="316" t="n">
        <f aca="false">-'Debt Amort'!X12</f>
        <v>-0</v>
      </c>
      <c r="Y47" s="316" t="n">
        <f aca="false">-'Debt Amort'!Y12</f>
        <v>-0</v>
      </c>
      <c r="Z47" s="317" t="n">
        <f aca="false">SUM(E47:Y47)</f>
        <v>-68247.8982665621</v>
      </c>
      <c r="AA47" s="332"/>
      <c r="AB47" s="136" t="n">
        <f aca="false">AB46+1</f>
        <v>41</v>
      </c>
      <c r="AC47" s="332"/>
      <c r="AD47" s="332"/>
      <c r="AE47" s="332"/>
      <c r="AF47" s="332"/>
      <c r="AG47" s="332"/>
      <c r="AH47" s="332"/>
      <c r="AI47" s="332"/>
      <c r="AJ47" s="332"/>
      <c r="AK47" s="332"/>
      <c r="AL47" s="332"/>
      <c r="AM47" s="332"/>
      <c r="AN47" s="332"/>
      <c r="AO47" s="332"/>
      <c r="AP47" s="332"/>
      <c r="AQ47" s="332"/>
      <c r="AR47" s="332"/>
      <c r="AS47" s="332"/>
      <c r="AT47" s="332"/>
      <c r="AU47" s="332"/>
      <c r="AV47" s="332"/>
      <c r="AW47" s="332"/>
      <c r="AX47" s="332"/>
      <c r="AY47" s="332"/>
      <c r="AZ47" s="332"/>
      <c r="BA47" s="332"/>
      <c r="BB47" s="332"/>
      <c r="BC47" s="332"/>
      <c r="BD47" s="332"/>
      <c r="BE47" s="332"/>
      <c r="BF47" s="332"/>
      <c r="BG47" s="332"/>
      <c r="BH47" s="332"/>
      <c r="BI47" s="332"/>
      <c r="BJ47" s="332"/>
      <c r="BK47" s="332"/>
      <c r="BL47" s="332"/>
      <c r="BM47" s="332"/>
      <c r="BN47" s="332"/>
      <c r="BO47" s="332"/>
      <c r="BP47" s="332"/>
      <c r="BQ47" s="332"/>
      <c r="BR47" s="332"/>
      <c r="BS47" s="332"/>
      <c r="BT47" s="332"/>
      <c r="BU47" s="332"/>
      <c r="BV47" s="332"/>
      <c r="BW47" s="332"/>
      <c r="BX47" s="332"/>
      <c r="BY47" s="332"/>
      <c r="BZ47" s="332"/>
      <c r="CA47" s="332"/>
      <c r="CB47" s="332"/>
      <c r="CC47" s="332"/>
      <c r="CD47" s="332"/>
      <c r="CE47" s="332"/>
      <c r="CF47" s="332"/>
      <c r="CG47" s="332"/>
      <c r="CH47" s="332"/>
      <c r="CI47" s="332"/>
      <c r="CJ47" s="332"/>
      <c r="CK47" s="332"/>
      <c r="CL47" s="332"/>
      <c r="CM47" s="332"/>
      <c r="CN47" s="332"/>
      <c r="CO47" s="332"/>
      <c r="CP47" s="332"/>
      <c r="CQ47" s="332"/>
      <c r="CR47" s="332"/>
      <c r="CS47" s="332"/>
      <c r="CT47" s="332"/>
      <c r="CU47" s="332"/>
      <c r="CV47" s="332"/>
      <c r="CW47" s="332"/>
      <c r="CX47" s="332"/>
      <c r="CY47" s="332"/>
      <c r="CZ47" s="332"/>
      <c r="DA47" s="332"/>
      <c r="DB47" s="332"/>
      <c r="DC47" s="332"/>
      <c r="DD47" s="332"/>
      <c r="DE47" s="332"/>
      <c r="DF47" s="332"/>
      <c r="DG47" s="332"/>
      <c r="DH47" s="332"/>
      <c r="DI47" s="332"/>
      <c r="DJ47" s="332"/>
      <c r="DK47" s="332"/>
      <c r="DL47" s="332"/>
      <c r="DM47" s="332"/>
      <c r="DN47" s="332"/>
      <c r="DO47" s="332"/>
      <c r="DP47" s="332"/>
      <c r="DQ47" s="332"/>
      <c r="DR47" s="332"/>
      <c r="DS47" s="332"/>
      <c r="DT47" s="332"/>
      <c r="DU47" s="332"/>
      <c r="DV47" s="332"/>
      <c r="DW47" s="332"/>
      <c r="DX47" s="332"/>
      <c r="DY47" s="332"/>
      <c r="DZ47" s="332"/>
      <c r="EA47" s="332"/>
      <c r="EB47" s="332"/>
      <c r="EC47" s="332"/>
      <c r="ED47" s="332"/>
      <c r="EE47" s="332"/>
      <c r="EF47" s="332"/>
      <c r="EG47" s="332"/>
      <c r="EH47" s="332"/>
      <c r="EI47" s="332"/>
      <c r="EJ47" s="332"/>
      <c r="EK47" s="332"/>
      <c r="EL47" s="332"/>
      <c r="EM47" s="332"/>
      <c r="EN47" s="332"/>
      <c r="EO47" s="332"/>
      <c r="EP47" s="332"/>
      <c r="EQ47" s="332"/>
      <c r="ER47" s="332"/>
      <c r="ES47" s="332"/>
      <c r="ET47" s="332"/>
      <c r="EU47" s="332"/>
      <c r="EV47" s="332"/>
      <c r="EW47" s="332"/>
      <c r="EX47" s="332"/>
      <c r="EY47" s="332"/>
      <c r="EZ47" s="332"/>
      <c r="FA47" s="332"/>
      <c r="FB47" s="332"/>
      <c r="FC47" s="332"/>
      <c r="FD47" s="332"/>
      <c r="FE47" s="332"/>
      <c r="FF47" s="332"/>
      <c r="FG47" s="332"/>
      <c r="FH47" s="332"/>
      <c r="FI47" s="332"/>
      <c r="FJ47" s="332"/>
      <c r="FK47" s="332"/>
      <c r="FL47" s="332"/>
      <c r="FM47" s="332"/>
      <c r="FN47" s="332"/>
      <c r="FO47" s="332"/>
      <c r="FP47" s="332"/>
      <c r="FQ47" s="332"/>
      <c r="FR47" s="332"/>
      <c r="FS47" s="332"/>
      <c r="FT47" s="332"/>
      <c r="FU47" s="332"/>
      <c r="FV47" s="332"/>
      <c r="FW47" s="332"/>
      <c r="FX47" s="332"/>
      <c r="FY47" s="332"/>
      <c r="FZ47" s="332"/>
      <c r="GA47" s="332"/>
      <c r="GB47" s="332"/>
      <c r="GC47" s="332"/>
      <c r="GD47" s="332"/>
      <c r="GE47" s="332"/>
      <c r="GF47" s="332"/>
      <c r="GG47" s="332"/>
      <c r="GH47" s="332"/>
      <c r="GI47" s="332"/>
      <c r="GJ47" s="332"/>
      <c r="GK47" s="332"/>
      <c r="GL47" s="332"/>
      <c r="GM47" s="332"/>
      <c r="GN47" s="332"/>
      <c r="GO47" s="332"/>
      <c r="GP47" s="332"/>
      <c r="GQ47" s="332"/>
      <c r="GR47" s="332"/>
      <c r="GS47" s="332"/>
      <c r="GT47" s="332"/>
      <c r="GU47" s="332"/>
      <c r="GV47" s="332"/>
      <c r="GW47" s="332"/>
      <c r="GX47" s="332"/>
      <c r="GY47" s="332"/>
      <c r="GZ47" s="332"/>
      <c r="HA47" s="332"/>
      <c r="HB47" s="332"/>
      <c r="HC47" s="332"/>
      <c r="HD47" s="332"/>
      <c r="HE47" s="332"/>
      <c r="HF47" s="332"/>
      <c r="HG47" s="332"/>
      <c r="HH47" s="332"/>
      <c r="HI47" s="332"/>
      <c r="HJ47" s="332"/>
      <c r="HK47" s="332"/>
      <c r="HL47" s="332"/>
      <c r="HM47" s="332"/>
      <c r="HN47" s="332"/>
      <c r="HO47" s="332"/>
      <c r="HP47" s="332"/>
      <c r="HQ47" s="332"/>
      <c r="HR47" s="332"/>
      <c r="HS47" s="332"/>
      <c r="HT47" s="332"/>
      <c r="HU47" s="332"/>
      <c r="HV47" s="332"/>
      <c r="HW47" s="332"/>
      <c r="HX47" s="332"/>
      <c r="HY47" s="332"/>
      <c r="HZ47" s="332"/>
      <c r="IA47" s="332"/>
      <c r="IB47" s="332"/>
      <c r="IC47" s="332"/>
      <c r="ID47" s="332"/>
      <c r="IE47" s="332"/>
      <c r="IF47" s="332"/>
      <c r="IG47" s="332"/>
      <c r="IH47" s="332"/>
      <c r="II47" s="332"/>
      <c r="IJ47" s="332"/>
      <c r="IK47" s="332"/>
      <c r="IL47" s="332"/>
      <c r="IM47" s="332"/>
      <c r="IN47" s="332"/>
      <c r="IO47" s="332"/>
      <c r="IP47" s="332"/>
      <c r="IQ47" s="332"/>
      <c r="IR47" s="332"/>
      <c r="IS47" s="332"/>
      <c r="IT47" s="332"/>
      <c r="IU47" s="332"/>
      <c r="IV47" s="332"/>
      <c r="IW47" s="332"/>
    </row>
    <row r="48" customFormat="false" ht="12.75" hidden="false" customHeight="false" outlineLevel="0" collapsed="false">
      <c r="A48" s="313"/>
      <c r="B48" s="314" t="s">
        <v>348</v>
      </c>
      <c r="C48" s="328"/>
      <c r="D48" s="314"/>
      <c r="E48" s="316" t="n">
        <f aca="false">-'Debt Amort'!E20</f>
        <v>-0</v>
      </c>
      <c r="F48" s="316" t="n">
        <f aca="false">-'Debt Amort'!F20</f>
        <v>-0</v>
      </c>
      <c r="G48" s="316" t="n">
        <f aca="false">-'Debt Amort'!G20</f>
        <v>-1164.18732247162</v>
      </c>
      <c r="H48" s="316" t="n">
        <f aca="false">-'Debt Amort'!H20</f>
        <v>-2763.74642383806</v>
      </c>
      <c r="I48" s="316" t="n">
        <f aca="false">-'Debt Amort'!I20</f>
        <v>-2634.52697362921</v>
      </c>
      <c r="J48" s="316" t="n">
        <f aca="false">-'Debt Amort'!J20</f>
        <v>-2487.96304271607</v>
      </c>
      <c r="K48" s="316" t="n">
        <f aca="false">-'Debt Amort'!K20</f>
        <v>-2321.72656817612</v>
      </c>
      <c r="L48" s="316" t="n">
        <f aca="false">-'Debt Amort'!L20</f>
        <v>-2133.17700284105</v>
      </c>
      <c r="M48" s="316" t="n">
        <f aca="false">-'Debt Amort'!M20</f>
        <v>-1919.31937209887</v>
      </c>
      <c r="N48" s="316" t="n">
        <f aca="false">-'Debt Amort'!N20</f>
        <v>-1676.75670087033</v>
      </c>
      <c r="O48" s="316" t="n">
        <f aca="false">-'Debt Amort'!O20</f>
        <v>-1401.63605509613</v>
      </c>
      <c r="P48" s="316" t="n">
        <f aca="false">-'Debt Amort'!P20</f>
        <v>-1089.5873406429</v>
      </c>
      <c r="Q48" s="316" t="n">
        <f aca="false">-'Debt Amort'!Q20</f>
        <v>-735.653887492177</v>
      </c>
      <c r="R48" s="316" t="n">
        <f aca="false">-'Debt Amort'!R20</f>
        <v>-334.2137165923</v>
      </c>
      <c r="S48" s="316" t="n">
        <f aca="false">-'Debt Amort'!S20</f>
        <v>-0</v>
      </c>
      <c r="T48" s="316" t="n">
        <f aca="false">-'Debt Amort'!T20</f>
        <v>-0</v>
      </c>
      <c r="U48" s="316" t="n">
        <f aca="false">-'Debt Amort'!U20</f>
        <v>-0</v>
      </c>
      <c r="V48" s="316" t="n">
        <f aca="false">-'Debt Amort'!V20</f>
        <v>-0</v>
      </c>
      <c r="W48" s="316" t="n">
        <f aca="false">-'Debt Amort'!W20</f>
        <v>-0</v>
      </c>
      <c r="X48" s="316" t="n">
        <f aca="false">-'Debt Amort'!X20</f>
        <v>-0</v>
      </c>
      <c r="Y48" s="316" t="n">
        <f aca="false">-'Debt Amort'!Y20</f>
        <v>-0</v>
      </c>
      <c r="Z48" s="317" t="n">
        <f aca="false">SUM(E48:Y48)</f>
        <v>-20662.4944064648</v>
      </c>
      <c r="AA48" s="332"/>
      <c r="AB48" s="136" t="n">
        <f aca="false">AB47+1</f>
        <v>42</v>
      </c>
      <c r="AC48" s="332"/>
      <c r="AD48" s="332"/>
      <c r="AE48" s="332"/>
      <c r="AF48" s="332"/>
      <c r="AG48" s="332"/>
      <c r="AH48" s="332"/>
      <c r="AI48" s="332"/>
      <c r="AJ48" s="332"/>
      <c r="AK48" s="332"/>
      <c r="AL48" s="332"/>
      <c r="AM48" s="332"/>
      <c r="AN48" s="332"/>
      <c r="AO48" s="332"/>
      <c r="AP48" s="332"/>
      <c r="AQ48" s="332"/>
      <c r="AR48" s="332"/>
      <c r="AS48" s="332"/>
      <c r="AT48" s="332"/>
      <c r="AU48" s="332"/>
      <c r="AV48" s="332"/>
      <c r="AW48" s="332"/>
      <c r="AX48" s="332"/>
      <c r="AY48" s="332"/>
      <c r="AZ48" s="332"/>
      <c r="BA48" s="332"/>
      <c r="BB48" s="332"/>
      <c r="BC48" s="332"/>
      <c r="BD48" s="332"/>
      <c r="BE48" s="332"/>
      <c r="BF48" s="332"/>
      <c r="BG48" s="332"/>
      <c r="BH48" s="332"/>
      <c r="BI48" s="332"/>
      <c r="BJ48" s="332"/>
      <c r="BK48" s="332"/>
      <c r="BL48" s="332"/>
      <c r="BM48" s="332"/>
      <c r="BN48" s="332"/>
      <c r="BO48" s="332"/>
      <c r="BP48" s="332"/>
      <c r="BQ48" s="332"/>
      <c r="BR48" s="332"/>
      <c r="BS48" s="332"/>
      <c r="BT48" s="332"/>
      <c r="BU48" s="332"/>
      <c r="BV48" s="332"/>
      <c r="BW48" s="332"/>
      <c r="BX48" s="332"/>
      <c r="BY48" s="332"/>
      <c r="BZ48" s="332"/>
      <c r="CA48" s="332"/>
      <c r="CB48" s="332"/>
      <c r="CC48" s="332"/>
      <c r="CD48" s="332"/>
      <c r="CE48" s="332"/>
      <c r="CF48" s="332"/>
      <c r="CG48" s="332"/>
      <c r="CH48" s="332"/>
      <c r="CI48" s="332"/>
      <c r="CJ48" s="332"/>
      <c r="CK48" s="332"/>
      <c r="CL48" s="332"/>
      <c r="CM48" s="332"/>
      <c r="CN48" s="332"/>
      <c r="CO48" s="332"/>
      <c r="CP48" s="332"/>
      <c r="CQ48" s="332"/>
      <c r="CR48" s="332"/>
      <c r="CS48" s="332"/>
      <c r="CT48" s="332"/>
      <c r="CU48" s="332"/>
      <c r="CV48" s="332"/>
      <c r="CW48" s="332"/>
      <c r="CX48" s="332"/>
      <c r="CY48" s="332"/>
      <c r="CZ48" s="332"/>
      <c r="DA48" s="332"/>
      <c r="DB48" s="332"/>
      <c r="DC48" s="332"/>
      <c r="DD48" s="332"/>
      <c r="DE48" s="332"/>
      <c r="DF48" s="332"/>
      <c r="DG48" s="332"/>
      <c r="DH48" s="332"/>
      <c r="DI48" s="332"/>
      <c r="DJ48" s="332"/>
      <c r="DK48" s="332"/>
      <c r="DL48" s="332"/>
      <c r="DM48" s="332"/>
      <c r="DN48" s="332"/>
      <c r="DO48" s="332"/>
      <c r="DP48" s="332"/>
      <c r="DQ48" s="332"/>
      <c r="DR48" s="332"/>
      <c r="DS48" s="332"/>
      <c r="DT48" s="332"/>
      <c r="DU48" s="332"/>
      <c r="DV48" s="332"/>
      <c r="DW48" s="332"/>
      <c r="DX48" s="332"/>
      <c r="DY48" s="332"/>
      <c r="DZ48" s="332"/>
      <c r="EA48" s="332"/>
      <c r="EB48" s="332"/>
      <c r="EC48" s="332"/>
      <c r="ED48" s="332"/>
      <c r="EE48" s="332"/>
      <c r="EF48" s="332"/>
      <c r="EG48" s="332"/>
      <c r="EH48" s="332"/>
      <c r="EI48" s="332"/>
      <c r="EJ48" s="332"/>
      <c r="EK48" s="332"/>
      <c r="EL48" s="332"/>
      <c r="EM48" s="332"/>
      <c r="EN48" s="332"/>
      <c r="EO48" s="332"/>
      <c r="EP48" s="332"/>
      <c r="EQ48" s="332"/>
      <c r="ER48" s="332"/>
      <c r="ES48" s="332"/>
      <c r="ET48" s="332"/>
      <c r="EU48" s="332"/>
      <c r="EV48" s="332"/>
      <c r="EW48" s="332"/>
      <c r="EX48" s="332"/>
      <c r="EY48" s="332"/>
      <c r="EZ48" s="332"/>
      <c r="FA48" s="332"/>
      <c r="FB48" s="332"/>
      <c r="FC48" s="332"/>
      <c r="FD48" s="332"/>
      <c r="FE48" s="332"/>
      <c r="FF48" s="332"/>
      <c r="FG48" s="332"/>
      <c r="FH48" s="332"/>
      <c r="FI48" s="332"/>
      <c r="FJ48" s="332"/>
      <c r="FK48" s="332"/>
      <c r="FL48" s="332"/>
      <c r="FM48" s="332"/>
      <c r="FN48" s="332"/>
      <c r="FO48" s="332"/>
      <c r="FP48" s="332"/>
      <c r="FQ48" s="332"/>
      <c r="FR48" s="332"/>
      <c r="FS48" s="332"/>
      <c r="FT48" s="332"/>
      <c r="FU48" s="332"/>
      <c r="FV48" s="332"/>
      <c r="FW48" s="332"/>
      <c r="FX48" s="332"/>
      <c r="FY48" s="332"/>
      <c r="FZ48" s="332"/>
      <c r="GA48" s="332"/>
      <c r="GB48" s="332"/>
      <c r="GC48" s="332"/>
      <c r="GD48" s="332"/>
      <c r="GE48" s="332"/>
      <c r="GF48" s="332"/>
      <c r="GG48" s="332"/>
      <c r="GH48" s="332"/>
      <c r="GI48" s="332"/>
      <c r="GJ48" s="332"/>
      <c r="GK48" s="332"/>
      <c r="GL48" s="332"/>
      <c r="GM48" s="332"/>
      <c r="GN48" s="332"/>
      <c r="GO48" s="332"/>
      <c r="GP48" s="332"/>
      <c r="GQ48" s="332"/>
      <c r="GR48" s="332"/>
      <c r="GS48" s="332"/>
      <c r="GT48" s="332"/>
      <c r="GU48" s="332"/>
      <c r="GV48" s="332"/>
      <c r="GW48" s="332"/>
      <c r="GX48" s="332"/>
      <c r="GY48" s="332"/>
      <c r="GZ48" s="332"/>
      <c r="HA48" s="332"/>
      <c r="HB48" s="332"/>
      <c r="HC48" s="332"/>
      <c r="HD48" s="332"/>
      <c r="HE48" s="332"/>
      <c r="HF48" s="332"/>
      <c r="HG48" s="332"/>
      <c r="HH48" s="332"/>
      <c r="HI48" s="332"/>
      <c r="HJ48" s="332"/>
      <c r="HK48" s="332"/>
      <c r="HL48" s="332"/>
      <c r="HM48" s="332"/>
      <c r="HN48" s="332"/>
      <c r="HO48" s="332"/>
      <c r="HP48" s="332"/>
      <c r="HQ48" s="332"/>
      <c r="HR48" s="332"/>
      <c r="HS48" s="332"/>
      <c r="HT48" s="332"/>
      <c r="HU48" s="332"/>
      <c r="HV48" s="332"/>
      <c r="HW48" s="332"/>
      <c r="HX48" s="332"/>
      <c r="HY48" s="332"/>
      <c r="HZ48" s="332"/>
      <c r="IA48" s="332"/>
      <c r="IB48" s="332"/>
      <c r="IC48" s="332"/>
      <c r="ID48" s="332"/>
      <c r="IE48" s="332"/>
      <c r="IF48" s="332"/>
      <c r="IG48" s="332"/>
      <c r="IH48" s="332"/>
      <c r="II48" s="332"/>
      <c r="IJ48" s="332"/>
      <c r="IK48" s="332"/>
      <c r="IL48" s="332"/>
      <c r="IM48" s="332"/>
      <c r="IN48" s="332"/>
      <c r="IO48" s="332"/>
      <c r="IP48" s="332"/>
      <c r="IQ48" s="332"/>
      <c r="IR48" s="332"/>
      <c r="IS48" s="332"/>
      <c r="IT48" s="332"/>
      <c r="IU48" s="332"/>
      <c r="IV48" s="332"/>
      <c r="IW48" s="332"/>
    </row>
    <row r="49" customFormat="false" ht="12.75" hidden="false" customHeight="false" outlineLevel="0" collapsed="false">
      <c r="A49" s="313"/>
      <c r="B49" s="314" t="s">
        <v>349</v>
      </c>
      <c r="C49" s="328"/>
      <c r="D49" s="314"/>
      <c r="E49" s="325" t="n">
        <f aca="false">-HLOOKUP(DATE(E$7,12,31),Idc_Table,IDC!$AP$57)-SUM($D49:D49)</f>
        <v>-0</v>
      </c>
      <c r="F49" s="325" t="n">
        <f aca="false">-HLOOKUP(DATE(F$7,12,31),Idc_Table,IDC!$AP$57)-SUM($D49:E49)</f>
        <v>-0</v>
      </c>
      <c r="G49" s="325" t="n">
        <f aca="false">-HLOOKUP(DATE(G$7,12,31),Idc_Table,IDC!$AP$57)-SUM($D49:F49)</f>
        <v>-0</v>
      </c>
      <c r="H49" s="325" t="n">
        <f aca="false">-HLOOKUP(DATE(H$7,12,31),Idc_Table,IDC!$AP$57)-SUM($D49:G49)</f>
        <v>-0</v>
      </c>
      <c r="I49" s="325" t="n">
        <f aca="false">-HLOOKUP(DATE(I$7,12,31),Idc_Table,IDC!$AP$57)-SUM($D49:H49)</f>
        <v>-0</v>
      </c>
      <c r="J49" s="325" t="n">
        <f aca="false">-HLOOKUP(DATE(J$7,12,31),Idc_Table,IDC!$AP$57)-SUM($D49:I49)</f>
        <v>-0</v>
      </c>
      <c r="K49" s="325" t="n">
        <f aca="false">-HLOOKUP(DATE(K$7,12,31),Idc_Table,IDC!$AP$57)-SUM($D49:J49)</f>
        <v>-0</v>
      </c>
      <c r="L49" s="325" t="n">
        <f aca="false">-HLOOKUP(DATE(L$7,12,31),Idc_Table,IDC!$AP$57)-SUM($D49:K49)</f>
        <v>-0</v>
      </c>
      <c r="M49" s="325" t="n">
        <f aca="false">-HLOOKUP(DATE(M$7,12,31),Idc_Table,IDC!$AP$57)-SUM($D49:L49)</f>
        <v>-0</v>
      </c>
      <c r="N49" s="325" t="n">
        <f aca="false">-HLOOKUP(DATE(N$7,12,31),Idc_Table,IDC!$AP$57)-SUM($D49:M49)</f>
        <v>-0</v>
      </c>
      <c r="O49" s="325" t="n">
        <f aca="false">-HLOOKUP(DATE(O$7,12,31),Idc_Table,IDC!$AP$57)-SUM($D49:N49)</f>
        <v>-0</v>
      </c>
      <c r="P49" s="325" t="n">
        <f aca="false">-HLOOKUP(DATE(P$7,12,31),Idc_Table,IDC!$AP$57)-SUM($D49:O49)</f>
        <v>-0</v>
      </c>
      <c r="Q49" s="325" t="n">
        <f aca="false">-HLOOKUP(DATE(Q$7,12,31),Idc_Table,IDC!$AP$57)-SUM($D49:P49)</f>
        <v>-0</v>
      </c>
      <c r="R49" s="325" t="n">
        <f aca="false">-HLOOKUP(DATE(R$7,12,31),Idc_Table,IDC!$AP$57)-SUM($D49:Q49)</f>
        <v>-0</v>
      </c>
      <c r="S49" s="325" t="n">
        <f aca="false">-HLOOKUP(DATE(S$7,12,31),Idc_Table,IDC!$AP$57)-SUM($D49:R49)</f>
        <v>-0</v>
      </c>
      <c r="T49" s="325" t="n">
        <f aca="false">-HLOOKUP(DATE(T$7,12,31),Idc_Table,IDC!$AP$57)-SUM($D49:S49)</f>
        <v>-0</v>
      </c>
      <c r="U49" s="325" t="n">
        <f aca="false">-HLOOKUP(DATE(U$7,12,31),Idc_Table,IDC!$AP$57)-SUM($D49:T49)</f>
        <v>-0</v>
      </c>
      <c r="V49" s="325" t="n">
        <f aca="false">-HLOOKUP(DATE(V$7,12,31),Idc_Table,IDC!$AP$57)-SUM($D49:U49)</f>
        <v>-0</v>
      </c>
      <c r="W49" s="325" t="n">
        <f aca="false">-HLOOKUP(DATE(W$7,12,31),Idc_Table,IDC!$AP$57)-SUM($D49:V49)</f>
        <v>-0</v>
      </c>
      <c r="X49" s="325" t="n">
        <f aca="false">-HLOOKUP(DATE(X$7,12,31),Idc_Table,IDC!$AP$57)-SUM($D49:W49)</f>
        <v>-0</v>
      </c>
      <c r="Y49" s="325" t="n">
        <f aca="false">-HLOOKUP(DATE(Y$7,12,31),Idc_Table,IDC!$AP$57)-SUM($D49:X49)</f>
        <v>-0</v>
      </c>
      <c r="Z49" s="326" t="n">
        <f aca="false">SUM(E49:Y49)</f>
        <v>0</v>
      </c>
      <c r="AA49" s="332"/>
      <c r="AB49" s="136" t="n">
        <f aca="false">AB48+1</f>
        <v>43</v>
      </c>
      <c r="AC49" s="332"/>
      <c r="AD49" s="332"/>
      <c r="AE49" s="332"/>
      <c r="AF49" s="332"/>
      <c r="AG49" s="332"/>
      <c r="AH49" s="332"/>
      <c r="AI49" s="332"/>
      <c r="AJ49" s="332"/>
      <c r="AK49" s="332"/>
      <c r="AL49" s="332"/>
      <c r="AM49" s="332"/>
      <c r="AN49" s="332"/>
      <c r="AO49" s="332"/>
      <c r="AP49" s="332"/>
      <c r="AQ49" s="332"/>
      <c r="AR49" s="332"/>
      <c r="AS49" s="332"/>
      <c r="AT49" s="332"/>
      <c r="AU49" s="332"/>
      <c r="AV49" s="332"/>
      <c r="AW49" s="332"/>
      <c r="AX49" s="332"/>
      <c r="AY49" s="332"/>
      <c r="AZ49" s="332"/>
      <c r="BA49" s="332"/>
      <c r="BB49" s="332"/>
      <c r="BC49" s="332"/>
      <c r="BD49" s="332"/>
      <c r="BE49" s="332"/>
      <c r="BF49" s="332"/>
      <c r="BG49" s="332"/>
      <c r="BH49" s="332"/>
      <c r="BI49" s="332"/>
      <c r="BJ49" s="332"/>
      <c r="BK49" s="332"/>
      <c r="BL49" s="332"/>
      <c r="BM49" s="332"/>
      <c r="BN49" s="332"/>
      <c r="BO49" s="332"/>
      <c r="BP49" s="332"/>
      <c r="BQ49" s="332"/>
      <c r="BR49" s="332"/>
      <c r="BS49" s="332"/>
      <c r="BT49" s="332"/>
      <c r="BU49" s="332"/>
      <c r="BV49" s="332"/>
      <c r="BW49" s="332"/>
      <c r="BX49" s="332"/>
      <c r="BY49" s="332"/>
      <c r="BZ49" s="332"/>
      <c r="CA49" s="332"/>
      <c r="CB49" s="332"/>
      <c r="CC49" s="332"/>
      <c r="CD49" s="332"/>
      <c r="CE49" s="332"/>
      <c r="CF49" s="332"/>
      <c r="CG49" s="332"/>
      <c r="CH49" s="332"/>
      <c r="CI49" s="332"/>
      <c r="CJ49" s="332"/>
      <c r="CK49" s="332"/>
      <c r="CL49" s="332"/>
      <c r="CM49" s="332"/>
      <c r="CN49" s="332"/>
      <c r="CO49" s="332"/>
      <c r="CP49" s="332"/>
      <c r="CQ49" s="332"/>
      <c r="CR49" s="332"/>
      <c r="CS49" s="332"/>
      <c r="CT49" s="332"/>
      <c r="CU49" s="332"/>
      <c r="CV49" s="332"/>
      <c r="CW49" s="332"/>
      <c r="CX49" s="332"/>
      <c r="CY49" s="332"/>
      <c r="CZ49" s="332"/>
      <c r="DA49" s="332"/>
      <c r="DB49" s="332"/>
      <c r="DC49" s="332"/>
      <c r="DD49" s="332"/>
      <c r="DE49" s="332"/>
      <c r="DF49" s="332"/>
      <c r="DG49" s="332"/>
      <c r="DH49" s="332"/>
      <c r="DI49" s="332"/>
      <c r="DJ49" s="332"/>
      <c r="DK49" s="332"/>
      <c r="DL49" s="332"/>
      <c r="DM49" s="332"/>
      <c r="DN49" s="332"/>
      <c r="DO49" s="332"/>
      <c r="DP49" s="332"/>
      <c r="DQ49" s="332"/>
      <c r="DR49" s="332"/>
      <c r="DS49" s="332"/>
      <c r="DT49" s="332"/>
      <c r="DU49" s="332"/>
      <c r="DV49" s="332"/>
      <c r="DW49" s="332"/>
      <c r="DX49" s="332"/>
      <c r="DY49" s="332"/>
      <c r="DZ49" s="332"/>
      <c r="EA49" s="332"/>
      <c r="EB49" s="332"/>
      <c r="EC49" s="332"/>
      <c r="ED49" s="332"/>
      <c r="EE49" s="332"/>
      <c r="EF49" s="332"/>
      <c r="EG49" s="332"/>
      <c r="EH49" s="332"/>
      <c r="EI49" s="332"/>
      <c r="EJ49" s="332"/>
      <c r="EK49" s="332"/>
      <c r="EL49" s="332"/>
      <c r="EM49" s="332"/>
      <c r="EN49" s="332"/>
      <c r="EO49" s="332"/>
      <c r="EP49" s="332"/>
      <c r="EQ49" s="332"/>
      <c r="ER49" s="332"/>
      <c r="ES49" s="332"/>
      <c r="ET49" s="332"/>
      <c r="EU49" s="332"/>
      <c r="EV49" s="332"/>
      <c r="EW49" s="332"/>
      <c r="EX49" s="332"/>
      <c r="EY49" s="332"/>
      <c r="EZ49" s="332"/>
      <c r="FA49" s="332"/>
      <c r="FB49" s="332"/>
      <c r="FC49" s="332"/>
      <c r="FD49" s="332"/>
      <c r="FE49" s="332"/>
      <c r="FF49" s="332"/>
      <c r="FG49" s="332"/>
      <c r="FH49" s="332"/>
      <c r="FI49" s="332"/>
      <c r="FJ49" s="332"/>
      <c r="FK49" s="332"/>
      <c r="FL49" s="332"/>
      <c r="FM49" s="332"/>
      <c r="FN49" s="332"/>
      <c r="FO49" s="332"/>
      <c r="FP49" s="332"/>
      <c r="FQ49" s="332"/>
      <c r="FR49" s="332"/>
      <c r="FS49" s="332"/>
      <c r="FT49" s="332"/>
      <c r="FU49" s="332"/>
      <c r="FV49" s="332"/>
      <c r="FW49" s="332"/>
      <c r="FX49" s="332"/>
      <c r="FY49" s="332"/>
      <c r="FZ49" s="332"/>
      <c r="GA49" s="332"/>
      <c r="GB49" s="332"/>
      <c r="GC49" s="332"/>
      <c r="GD49" s="332"/>
      <c r="GE49" s="332"/>
      <c r="GF49" s="332"/>
      <c r="GG49" s="332"/>
      <c r="GH49" s="332"/>
      <c r="GI49" s="332"/>
      <c r="GJ49" s="332"/>
      <c r="GK49" s="332"/>
      <c r="GL49" s="332"/>
      <c r="GM49" s="332"/>
      <c r="GN49" s="332"/>
      <c r="GO49" s="332"/>
      <c r="GP49" s="332"/>
      <c r="GQ49" s="332"/>
      <c r="GR49" s="332"/>
      <c r="GS49" s="332"/>
      <c r="GT49" s="332"/>
      <c r="GU49" s="332"/>
      <c r="GV49" s="332"/>
      <c r="GW49" s="332"/>
      <c r="GX49" s="332"/>
      <c r="GY49" s="332"/>
      <c r="GZ49" s="332"/>
      <c r="HA49" s="332"/>
      <c r="HB49" s="332"/>
      <c r="HC49" s="332"/>
      <c r="HD49" s="332"/>
      <c r="HE49" s="332"/>
      <c r="HF49" s="332"/>
      <c r="HG49" s="332"/>
      <c r="HH49" s="332"/>
      <c r="HI49" s="332"/>
      <c r="HJ49" s="332"/>
      <c r="HK49" s="332"/>
      <c r="HL49" s="332"/>
      <c r="HM49" s="332"/>
      <c r="HN49" s="332"/>
      <c r="HO49" s="332"/>
      <c r="HP49" s="332"/>
      <c r="HQ49" s="332"/>
      <c r="HR49" s="332"/>
      <c r="HS49" s="332"/>
      <c r="HT49" s="332"/>
      <c r="HU49" s="332"/>
      <c r="HV49" s="332"/>
      <c r="HW49" s="332"/>
      <c r="HX49" s="332"/>
      <c r="HY49" s="332"/>
      <c r="HZ49" s="332"/>
      <c r="IA49" s="332"/>
      <c r="IB49" s="332"/>
      <c r="IC49" s="332"/>
      <c r="ID49" s="332"/>
      <c r="IE49" s="332"/>
      <c r="IF49" s="332"/>
      <c r="IG49" s="332"/>
      <c r="IH49" s="332"/>
      <c r="II49" s="332"/>
      <c r="IJ49" s="332"/>
      <c r="IK49" s="332"/>
      <c r="IL49" s="332"/>
      <c r="IM49" s="332"/>
      <c r="IN49" s="332"/>
      <c r="IO49" s="332"/>
      <c r="IP49" s="332"/>
      <c r="IQ49" s="332"/>
      <c r="IR49" s="332"/>
      <c r="IS49" s="332"/>
      <c r="IT49" s="332"/>
      <c r="IU49" s="332"/>
      <c r="IV49" s="332"/>
      <c r="IW49" s="332"/>
    </row>
    <row r="50" customFormat="false" ht="12.75" hidden="false" customHeight="false" outlineLevel="0" collapsed="false">
      <c r="A50" s="313"/>
      <c r="B50" s="314"/>
      <c r="C50" s="328"/>
      <c r="D50" s="314"/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17"/>
      <c r="AA50" s="332"/>
      <c r="AB50" s="136" t="n">
        <f aca="false">AB49+1</f>
        <v>44</v>
      </c>
      <c r="AC50" s="332"/>
      <c r="AD50" s="332"/>
      <c r="AE50" s="332"/>
      <c r="AF50" s="332"/>
      <c r="AG50" s="332"/>
      <c r="AH50" s="332"/>
      <c r="AI50" s="332"/>
      <c r="AJ50" s="332"/>
      <c r="AK50" s="332"/>
      <c r="AL50" s="332"/>
      <c r="AM50" s="332"/>
      <c r="AN50" s="332"/>
      <c r="AO50" s="332"/>
      <c r="AP50" s="332"/>
      <c r="AQ50" s="332"/>
      <c r="AR50" s="332"/>
      <c r="AS50" s="332"/>
      <c r="AT50" s="332"/>
      <c r="AU50" s="332"/>
      <c r="AV50" s="332"/>
      <c r="AW50" s="332"/>
      <c r="AX50" s="332"/>
      <c r="AY50" s="332"/>
      <c r="AZ50" s="332"/>
      <c r="BA50" s="332"/>
      <c r="BB50" s="332"/>
      <c r="BC50" s="332"/>
      <c r="BD50" s="332"/>
      <c r="BE50" s="332"/>
      <c r="BF50" s="332"/>
      <c r="BG50" s="332"/>
      <c r="BH50" s="332"/>
      <c r="BI50" s="332"/>
      <c r="BJ50" s="332"/>
      <c r="BK50" s="332"/>
      <c r="BL50" s="332"/>
      <c r="BM50" s="332"/>
      <c r="BN50" s="332"/>
      <c r="BO50" s="332"/>
      <c r="BP50" s="332"/>
      <c r="BQ50" s="332"/>
      <c r="BR50" s="332"/>
      <c r="BS50" s="332"/>
      <c r="BT50" s="332"/>
      <c r="BU50" s="332"/>
      <c r="BV50" s="332"/>
      <c r="BW50" s="332"/>
      <c r="BX50" s="332"/>
      <c r="BY50" s="332"/>
      <c r="BZ50" s="332"/>
      <c r="CA50" s="332"/>
      <c r="CB50" s="332"/>
      <c r="CC50" s="332"/>
      <c r="CD50" s="332"/>
      <c r="CE50" s="332"/>
      <c r="CF50" s="332"/>
      <c r="CG50" s="332"/>
      <c r="CH50" s="332"/>
      <c r="CI50" s="332"/>
      <c r="CJ50" s="332"/>
      <c r="CK50" s="332"/>
      <c r="CL50" s="332"/>
      <c r="CM50" s="332"/>
      <c r="CN50" s="332"/>
      <c r="CO50" s="332"/>
      <c r="CP50" s="332"/>
      <c r="CQ50" s="332"/>
      <c r="CR50" s="332"/>
      <c r="CS50" s="332"/>
      <c r="CT50" s="332"/>
      <c r="CU50" s="332"/>
      <c r="CV50" s="332"/>
      <c r="CW50" s="332"/>
      <c r="CX50" s="332"/>
      <c r="CY50" s="332"/>
      <c r="CZ50" s="332"/>
      <c r="DA50" s="332"/>
      <c r="DB50" s="332"/>
      <c r="DC50" s="332"/>
      <c r="DD50" s="332"/>
      <c r="DE50" s="332"/>
      <c r="DF50" s="332"/>
      <c r="DG50" s="332"/>
      <c r="DH50" s="332"/>
      <c r="DI50" s="332"/>
      <c r="DJ50" s="332"/>
      <c r="DK50" s="332"/>
      <c r="DL50" s="332"/>
      <c r="DM50" s="332"/>
      <c r="DN50" s="332"/>
      <c r="DO50" s="332"/>
      <c r="DP50" s="332"/>
      <c r="DQ50" s="332"/>
      <c r="DR50" s="332"/>
      <c r="DS50" s="332"/>
      <c r="DT50" s="332"/>
      <c r="DU50" s="332"/>
      <c r="DV50" s="332"/>
      <c r="DW50" s="332"/>
      <c r="DX50" s="332"/>
      <c r="DY50" s="332"/>
      <c r="DZ50" s="332"/>
      <c r="EA50" s="332"/>
      <c r="EB50" s="332"/>
      <c r="EC50" s="332"/>
      <c r="ED50" s="332"/>
      <c r="EE50" s="332"/>
      <c r="EF50" s="332"/>
      <c r="EG50" s="332"/>
      <c r="EH50" s="332"/>
      <c r="EI50" s="332"/>
      <c r="EJ50" s="332"/>
      <c r="EK50" s="332"/>
      <c r="EL50" s="332"/>
      <c r="EM50" s="332"/>
      <c r="EN50" s="332"/>
      <c r="EO50" s="332"/>
      <c r="EP50" s="332"/>
      <c r="EQ50" s="332"/>
      <c r="ER50" s="332"/>
      <c r="ES50" s="332"/>
      <c r="ET50" s="332"/>
      <c r="EU50" s="332"/>
      <c r="EV50" s="332"/>
      <c r="EW50" s="332"/>
      <c r="EX50" s="332"/>
      <c r="EY50" s="332"/>
      <c r="EZ50" s="332"/>
      <c r="FA50" s="332"/>
      <c r="FB50" s="332"/>
      <c r="FC50" s="332"/>
      <c r="FD50" s="332"/>
      <c r="FE50" s="332"/>
      <c r="FF50" s="332"/>
      <c r="FG50" s="332"/>
      <c r="FH50" s="332"/>
      <c r="FI50" s="332"/>
      <c r="FJ50" s="332"/>
      <c r="FK50" s="332"/>
      <c r="FL50" s="332"/>
      <c r="FM50" s="332"/>
      <c r="FN50" s="332"/>
      <c r="FO50" s="332"/>
      <c r="FP50" s="332"/>
      <c r="FQ50" s="332"/>
      <c r="FR50" s="332"/>
      <c r="FS50" s="332"/>
      <c r="FT50" s="332"/>
      <c r="FU50" s="332"/>
      <c r="FV50" s="332"/>
      <c r="FW50" s="332"/>
      <c r="FX50" s="332"/>
      <c r="FY50" s="332"/>
      <c r="FZ50" s="332"/>
      <c r="GA50" s="332"/>
      <c r="GB50" s="332"/>
      <c r="GC50" s="332"/>
      <c r="GD50" s="332"/>
      <c r="GE50" s="332"/>
      <c r="GF50" s="332"/>
      <c r="GG50" s="332"/>
      <c r="GH50" s="332"/>
      <c r="GI50" s="332"/>
      <c r="GJ50" s="332"/>
      <c r="GK50" s="332"/>
      <c r="GL50" s="332"/>
      <c r="GM50" s="332"/>
      <c r="GN50" s="332"/>
      <c r="GO50" s="332"/>
      <c r="GP50" s="332"/>
      <c r="GQ50" s="332"/>
      <c r="GR50" s="332"/>
      <c r="GS50" s="332"/>
      <c r="GT50" s="332"/>
      <c r="GU50" s="332"/>
      <c r="GV50" s="332"/>
      <c r="GW50" s="332"/>
      <c r="GX50" s="332"/>
      <c r="GY50" s="332"/>
      <c r="GZ50" s="332"/>
      <c r="HA50" s="332"/>
      <c r="HB50" s="332"/>
      <c r="HC50" s="332"/>
      <c r="HD50" s="332"/>
      <c r="HE50" s="332"/>
      <c r="HF50" s="332"/>
      <c r="HG50" s="332"/>
      <c r="HH50" s="332"/>
      <c r="HI50" s="332"/>
      <c r="HJ50" s="332"/>
      <c r="HK50" s="332"/>
      <c r="HL50" s="332"/>
      <c r="HM50" s="332"/>
      <c r="HN50" s="332"/>
      <c r="HO50" s="332"/>
      <c r="HP50" s="332"/>
      <c r="HQ50" s="332"/>
      <c r="HR50" s="332"/>
      <c r="HS50" s="332"/>
      <c r="HT50" s="332"/>
      <c r="HU50" s="332"/>
      <c r="HV50" s="332"/>
      <c r="HW50" s="332"/>
      <c r="HX50" s="332"/>
      <c r="HY50" s="332"/>
      <c r="HZ50" s="332"/>
      <c r="IA50" s="332"/>
      <c r="IB50" s="332"/>
      <c r="IC50" s="332"/>
      <c r="ID50" s="332"/>
      <c r="IE50" s="332"/>
      <c r="IF50" s="332"/>
      <c r="IG50" s="332"/>
      <c r="IH50" s="332"/>
      <c r="II50" s="332"/>
      <c r="IJ50" s="332"/>
      <c r="IK50" s="332"/>
      <c r="IL50" s="332"/>
      <c r="IM50" s="332"/>
      <c r="IN50" s="332"/>
      <c r="IO50" s="332"/>
      <c r="IP50" s="332"/>
      <c r="IQ50" s="332"/>
      <c r="IR50" s="332"/>
      <c r="IS50" s="332"/>
      <c r="IT50" s="332"/>
      <c r="IU50" s="332"/>
      <c r="IV50" s="332"/>
      <c r="IW50" s="332"/>
    </row>
    <row r="51" customFormat="false" ht="12.75" hidden="false" customHeight="false" outlineLevel="0" collapsed="false">
      <c r="A51" s="331" t="s">
        <v>350</v>
      </c>
      <c r="B51" s="328"/>
      <c r="C51" s="314"/>
      <c r="D51" s="328"/>
      <c r="E51" s="329" t="n">
        <f aca="false">SUM(E46:E49)</f>
        <v>0</v>
      </c>
      <c r="F51" s="329" t="n">
        <f aca="false">SUM(F46:F49)</f>
        <v>0</v>
      </c>
      <c r="G51" s="329" t="n">
        <f aca="false">SUM(G46:G49)</f>
        <v>-4849.95618144266</v>
      </c>
      <c r="H51" s="329" t="n">
        <f aca="false">SUM(H46:H49)</f>
        <v>-9312.2837301061</v>
      </c>
      <c r="I51" s="329" t="n">
        <f aca="false">SUM(I46:I49)</f>
        <v>-9485.89883460989</v>
      </c>
      <c r="J51" s="329" t="n">
        <f aca="false">SUM(J46:J49)</f>
        <v>-4607.39519923682</v>
      </c>
      <c r="K51" s="329" t="n">
        <f aca="false">SUM(K46:K49)</f>
        <v>-3349.54374666664</v>
      </c>
      <c r="L51" s="329" t="n">
        <f aca="false">SUM(L46:L49)</f>
        <v>-2354.1885095183</v>
      </c>
      <c r="M51" s="329" t="n">
        <f aca="false">SUM(M46:M49)</f>
        <v>-1067.11377141443</v>
      </c>
      <c r="N51" s="329" t="n">
        <f aca="false">SUM(N46:N49)</f>
        <v>60.3161378040754</v>
      </c>
      <c r="O51" s="329" t="n">
        <f aca="false">SUM(O46:O49)</f>
        <v>1291.83954834637</v>
      </c>
      <c r="P51" s="329" t="n">
        <f aca="false">SUM(P46:P49)</f>
        <v>2339.28271358451</v>
      </c>
      <c r="Q51" s="329" t="n">
        <f aca="false">SUM(Q46:Q49)</f>
        <v>3708.70153574339</v>
      </c>
      <c r="R51" s="329" t="n">
        <f aca="false">SUM(R46:R49)</f>
        <v>5245.1292370969</v>
      </c>
      <c r="S51" s="329" t="n">
        <f aca="false">SUM(S46:S49)</f>
        <v>5408.58721600442</v>
      </c>
      <c r="T51" s="329" t="n">
        <f aca="false">SUM(T46:T49)</f>
        <v>7871.15465252329</v>
      </c>
      <c r="U51" s="329" t="n">
        <f aca="false">SUM(U46:U49)</f>
        <v>9453.10741822491</v>
      </c>
      <c r="V51" s="329" t="n">
        <f aca="false">SUM(V46:V49)</f>
        <v>10705.3496609782</v>
      </c>
      <c r="W51" s="329" t="n">
        <f aca="false">SUM(W46:W49)</f>
        <v>11800.8467336138</v>
      </c>
      <c r="X51" s="329" t="n">
        <f aca="false">SUM(X46:X49)</f>
        <v>12770.8209645409</v>
      </c>
      <c r="Y51" s="329" t="n">
        <f aca="false">SUM(Y46:Y49)</f>
        <v>4296.10442124443</v>
      </c>
      <c r="Z51" s="330" t="n">
        <f aca="false">SUM(E51:Y51)</f>
        <v>39924.8602667103</v>
      </c>
      <c r="AA51" s="327"/>
      <c r="AB51" s="136" t="n">
        <f aca="false">AB50+1</f>
        <v>45</v>
      </c>
      <c r="AC51" s="327"/>
      <c r="AD51" s="327"/>
      <c r="AE51" s="327"/>
      <c r="AF51" s="327"/>
      <c r="AG51" s="327"/>
      <c r="AH51" s="327"/>
      <c r="AI51" s="327"/>
      <c r="AJ51" s="327"/>
      <c r="AK51" s="327"/>
      <c r="AL51" s="327"/>
      <c r="AM51" s="327"/>
      <c r="AN51" s="327"/>
      <c r="AO51" s="327"/>
      <c r="AP51" s="327"/>
      <c r="AQ51" s="32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  <c r="BP51" s="327"/>
      <c r="BQ51" s="327"/>
      <c r="BR51" s="327"/>
      <c r="BS51" s="327"/>
      <c r="BT51" s="327"/>
      <c r="BU51" s="327"/>
      <c r="BV51" s="327"/>
      <c r="BW51" s="327"/>
      <c r="BX51" s="327"/>
      <c r="BY51" s="327"/>
      <c r="BZ51" s="327"/>
      <c r="CA51" s="327"/>
      <c r="CB51" s="327"/>
      <c r="CC51" s="327"/>
      <c r="CD51" s="327"/>
      <c r="CE51" s="327"/>
      <c r="CF51" s="327"/>
      <c r="CG51" s="327"/>
      <c r="CH51" s="327"/>
      <c r="CI51" s="327"/>
      <c r="CJ51" s="327"/>
      <c r="CK51" s="327"/>
      <c r="CL51" s="327"/>
      <c r="CM51" s="327"/>
      <c r="CN51" s="327"/>
      <c r="CO51" s="327"/>
      <c r="CP51" s="327"/>
      <c r="CQ51" s="327"/>
      <c r="CR51" s="327"/>
      <c r="CS51" s="327"/>
      <c r="CT51" s="327"/>
      <c r="CU51" s="327"/>
      <c r="CV51" s="327"/>
      <c r="CW51" s="327"/>
      <c r="CX51" s="327"/>
      <c r="CY51" s="327"/>
      <c r="CZ51" s="327"/>
      <c r="DA51" s="327"/>
      <c r="DB51" s="327"/>
      <c r="DC51" s="327"/>
      <c r="DD51" s="327"/>
      <c r="DE51" s="327"/>
      <c r="DF51" s="327"/>
      <c r="DG51" s="327"/>
      <c r="DH51" s="327"/>
      <c r="DI51" s="327"/>
      <c r="DJ51" s="327"/>
      <c r="DK51" s="327"/>
      <c r="DL51" s="327"/>
      <c r="DM51" s="327"/>
      <c r="DN51" s="327"/>
      <c r="DO51" s="327"/>
      <c r="DP51" s="327"/>
      <c r="DQ51" s="327"/>
      <c r="DR51" s="327"/>
      <c r="DS51" s="327"/>
      <c r="DT51" s="327"/>
      <c r="DU51" s="327"/>
      <c r="DV51" s="327"/>
      <c r="DW51" s="327"/>
      <c r="DX51" s="327"/>
      <c r="DY51" s="327"/>
      <c r="DZ51" s="327"/>
      <c r="EA51" s="327"/>
      <c r="EB51" s="327"/>
      <c r="EC51" s="327"/>
      <c r="ED51" s="327"/>
      <c r="EE51" s="327"/>
      <c r="EF51" s="327"/>
      <c r="EG51" s="327"/>
      <c r="EH51" s="327"/>
      <c r="EI51" s="327"/>
      <c r="EJ51" s="327"/>
      <c r="EK51" s="327"/>
      <c r="EL51" s="327"/>
      <c r="EM51" s="327"/>
      <c r="EN51" s="327"/>
      <c r="EO51" s="327"/>
      <c r="EP51" s="327"/>
      <c r="EQ51" s="327"/>
      <c r="ER51" s="327"/>
      <c r="ES51" s="327"/>
      <c r="ET51" s="327"/>
      <c r="EU51" s="327"/>
      <c r="EV51" s="327"/>
      <c r="EW51" s="327"/>
      <c r="EX51" s="327"/>
      <c r="EY51" s="327"/>
      <c r="EZ51" s="327"/>
      <c r="FA51" s="327"/>
      <c r="FB51" s="327"/>
      <c r="FC51" s="327"/>
      <c r="FD51" s="327"/>
      <c r="FE51" s="327"/>
      <c r="FF51" s="327"/>
      <c r="FG51" s="327"/>
      <c r="FH51" s="327"/>
      <c r="FI51" s="327"/>
      <c r="FJ51" s="327"/>
      <c r="FK51" s="327"/>
      <c r="FL51" s="327"/>
      <c r="FM51" s="327"/>
      <c r="FN51" s="327"/>
      <c r="FO51" s="327"/>
      <c r="FP51" s="327"/>
      <c r="FQ51" s="327"/>
      <c r="FR51" s="327"/>
      <c r="FS51" s="327"/>
      <c r="FT51" s="327"/>
      <c r="FU51" s="327"/>
      <c r="FV51" s="327"/>
      <c r="FW51" s="327"/>
      <c r="FX51" s="327"/>
      <c r="FY51" s="327"/>
      <c r="FZ51" s="327"/>
      <c r="GA51" s="327"/>
      <c r="GB51" s="327"/>
      <c r="GC51" s="327"/>
      <c r="GD51" s="327"/>
      <c r="GE51" s="327"/>
      <c r="GF51" s="327"/>
      <c r="GG51" s="327"/>
      <c r="GH51" s="327"/>
      <c r="GI51" s="327"/>
      <c r="GJ51" s="327"/>
      <c r="GK51" s="327"/>
      <c r="GL51" s="327"/>
      <c r="GM51" s="327"/>
      <c r="GN51" s="327"/>
      <c r="GO51" s="327"/>
      <c r="GP51" s="327"/>
      <c r="GQ51" s="327"/>
      <c r="GR51" s="327"/>
      <c r="GS51" s="327"/>
      <c r="GT51" s="327"/>
      <c r="GU51" s="327"/>
      <c r="GV51" s="327"/>
      <c r="GW51" s="327"/>
      <c r="GX51" s="327"/>
      <c r="GY51" s="327"/>
      <c r="GZ51" s="327"/>
      <c r="HA51" s="327"/>
      <c r="HB51" s="327"/>
      <c r="HC51" s="327"/>
      <c r="HD51" s="327"/>
      <c r="HE51" s="327"/>
      <c r="HF51" s="327"/>
      <c r="HG51" s="327"/>
      <c r="HH51" s="327"/>
      <c r="HI51" s="327"/>
      <c r="HJ51" s="327"/>
      <c r="HK51" s="327"/>
      <c r="HL51" s="327"/>
      <c r="HM51" s="327"/>
      <c r="HN51" s="327"/>
      <c r="HO51" s="327"/>
      <c r="HP51" s="327"/>
      <c r="HQ51" s="327"/>
      <c r="HR51" s="327"/>
      <c r="HS51" s="327"/>
      <c r="HT51" s="327"/>
      <c r="HU51" s="327"/>
      <c r="HV51" s="327"/>
      <c r="HW51" s="327"/>
      <c r="HX51" s="327"/>
      <c r="HY51" s="327"/>
      <c r="HZ51" s="327"/>
      <c r="IA51" s="327"/>
      <c r="IB51" s="327"/>
      <c r="IC51" s="327"/>
      <c r="ID51" s="327"/>
      <c r="IE51" s="327"/>
      <c r="IF51" s="327"/>
      <c r="IG51" s="327"/>
      <c r="IH51" s="327"/>
      <c r="II51" s="327"/>
      <c r="IJ51" s="327"/>
      <c r="IK51" s="327"/>
      <c r="IL51" s="327"/>
      <c r="IM51" s="327"/>
      <c r="IN51" s="327"/>
      <c r="IO51" s="327"/>
      <c r="IP51" s="327"/>
      <c r="IQ51" s="327"/>
      <c r="IR51" s="327"/>
      <c r="IS51" s="327"/>
      <c r="IT51" s="327"/>
      <c r="IU51" s="327"/>
      <c r="IV51" s="327"/>
      <c r="IW51" s="327"/>
    </row>
    <row r="52" customFormat="false" ht="12.75" hidden="false" customHeight="false" outlineLevel="0" collapsed="false">
      <c r="A52" s="313"/>
      <c r="B52" s="314" t="s">
        <v>351</v>
      </c>
      <c r="C52" s="328"/>
      <c r="D52" s="314"/>
      <c r="E52" s="316" t="n">
        <f aca="false">-Sudam!D63</f>
        <v>-0</v>
      </c>
      <c r="F52" s="316" t="n">
        <f aca="false">-Sudam!E63</f>
        <v>-0</v>
      </c>
      <c r="G52" s="316" t="n">
        <f aca="false">-Sudam!F63</f>
        <v>-0</v>
      </c>
      <c r="H52" s="316" t="n">
        <f aca="false">-Sudam!G63</f>
        <v>-0</v>
      </c>
      <c r="I52" s="316" t="n">
        <f aca="false">-Sudam!H63</f>
        <v>-0</v>
      </c>
      <c r="J52" s="316" t="n">
        <f aca="false">-Sudam!I63</f>
        <v>-0</v>
      </c>
      <c r="K52" s="316" t="n">
        <f aca="false">-Sudam!J63</f>
        <v>-0</v>
      </c>
      <c r="L52" s="316" t="n">
        <f aca="false">-Sudam!K63</f>
        <v>-0</v>
      </c>
      <c r="M52" s="316" t="n">
        <f aca="false">-Sudam!L63</f>
        <v>-0</v>
      </c>
      <c r="N52" s="316" t="n">
        <f aca="false">-Sudam!M63</f>
        <v>602.224988102776</v>
      </c>
      <c r="O52" s="316" t="n">
        <f aca="false">-Sudam!N63</f>
        <v>578.460807770804</v>
      </c>
      <c r="P52" s="316" t="n">
        <f aca="false">-Sudam!O63</f>
        <v>464.094572400236</v>
      </c>
      <c r="Q52" s="316" t="n">
        <f aca="false">-Sudam!P63</f>
        <v>260.195765963851</v>
      </c>
      <c r="R52" s="316" t="n">
        <f aca="false">-Sudam!Q63</f>
        <v>-33.4729706022816</v>
      </c>
      <c r="S52" s="316" t="n">
        <f aca="false">-Sudam!R63</f>
        <v>-442.646682586344</v>
      </c>
      <c r="T52" s="316" t="n">
        <f aca="false">-Sudam!S63</f>
        <v>-828.169368941894</v>
      </c>
      <c r="U52" s="316" t="n">
        <f aca="false">-Sudam!T63</f>
        <v>-1370.64012016712</v>
      </c>
      <c r="V52" s="316" t="n">
        <f aca="false">-Sudam!U63</f>
        <v>-1995.82371472347</v>
      </c>
      <c r="W52" s="316" t="n">
        <f aca="false">-Sudam!V63</f>
        <v>-2666.45144290828</v>
      </c>
      <c r="X52" s="316" t="n">
        <f aca="false">-Sudam!W63</f>
        <v>-2913.05128272317</v>
      </c>
      <c r="Y52" s="316" t="n">
        <f aca="false">-Sudam!X63</f>
        <v>-971.017094241057</v>
      </c>
      <c r="Z52" s="317" t="n">
        <f aca="false">SUM(E52:Y52)</f>
        <v>-9316.29654265595</v>
      </c>
      <c r="AA52" s="332"/>
      <c r="AB52" s="136" t="n">
        <f aca="false">AB51+1</f>
        <v>46</v>
      </c>
      <c r="AC52" s="332"/>
      <c r="AD52" s="332"/>
      <c r="AE52" s="332"/>
      <c r="AF52" s="332"/>
      <c r="AG52" s="332"/>
      <c r="AH52" s="332"/>
      <c r="AI52" s="332"/>
      <c r="AJ52" s="332"/>
      <c r="AK52" s="332"/>
      <c r="AL52" s="332"/>
      <c r="AM52" s="332"/>
      <c r="AN52" s="332"/>
      <c r="AO52" s="332"/>
      <c r="AP52" s="332"/>
      <c r="AQ52" s="332"/>
      <c r="AR52" s="332"/>
      <c r="AS52" s="332"/>
      <c r="AT52" s="332"/>
      <c r="AU52" s="332"/>
      <c r="AV52" s="332"/>
      <c r="AW52" s="332"/>
      <c r="AX52" s="332"/>
      <c r="AY52" s="332"/>
      <c r="AZ52" s="332"/>
      <c r="BA52" s="332"/>
      <c r="BB52" s="332"/>
      <c r="BC52" s="332"/>
      <c r="BD52" s="332"/>
      <c r="BE52" s="332"/>
      <c r="BF52" s="332"/>
      <c r="BG52" s="332"/>
      <c r="BH52" s="332"/>
      <c r="BI52" s="332"/>
      <c r="BJ52" s="332"/>
      <c r="BK52" s="332"/>
      <c r="BL52" s="332"/>
      <c r="BM52" s="332"/>
      <c r="BN52" s="332"/>
      <c r="BO52" s="332"/>
      <c r="BP52" s="332"/>
      <c r="BQ52" s="332"/>
      <c r="BR52" s="332"/>
      <c r="BS52" s="332"/>
      <c r="BT52" s="332"/>
      <c r="BU52" s="332"/>
      <c r="BV52" s="332"/>
      <c r="BW52" s="332"/>
      <c r="BX52" s="332"/>
      <c r="BY52" s="332"/>
      <c r="BZ52" s="332"/>
      <c r="CA52" s="332"/>
      <c r="CB52" s="332"/>
      <c r="CC52" s="332"/>
      <c r="CD52" s="332"/>
      <c r="CE52" s="332"/>
      <c r="CF52" s="332"/>
      <c r="CG52" s="332"/>
      <c r="CH52" s="332"/>
      <c r="CI52" s="332"/>
      <c r="CJ52" s="332"/>
      <c r="CK52" s="332"/>
      <c r="CL52" s="332"/>
      <c r="CM52" s="332"/>
      <c r="CN52" s="332"/>
      <c r="CO52" s="332"/>
      <c r="CP52" s="332"/>
      <c r="CQ52" s="332"/>
      <c r="CR52" s="332"/>
      <c r="CS52" s="332"/>
      <c r="CT52" s="332"/>
      <c r="CU52" s="332"/>
      <c r="CV52" s="332"/>
      <c r="CW52" s="332"/>
      <c r="CX52" s="332"/>
      <c r="CY52" s="332"/>
      <c r="CZ52" s="332"/>
      <c r="DA52" s="332"/>
      <c r="DB52" s="332"/>
      <c r="DC52" s="332"/>
      <c r="DD52" s="332"/>
      <c r="DE52" s="332"/>
      <c r="DF52" s="332"/>
      <c r="DG52" s="332"/>
      <c r="DH52" s="332"/>
      <c r="DI52" s="332"/>
      <c r="DJ52" s="332"/>
      <c r="DK52" s="332"/>
      <c r="DL52" s="332"/>
      <c r="DM52" s="332"/>
      <c r="DN52" s="332"/>
      <c r="DO52" s="332"/>
      <c r="DP52" s="332"/>
      <c r="DQ52" s="332"/>
      <c r="DR52" s="332"/>
      <c r="DS52" s="332"/>
      <c r="DT52" s="332"/>
      <c r="DU52" s="332"/>
      <c r="DV52" s="332"/>
      <c r="DW52" s="332"/>
      <c r="DX52" s="332"/>
      <c r="DY52" s="332"/>
      <c r="DZ52" s="332"/>
      <c r="EA52" s="332"/>
      <c r="EB52" s="332"/>
      <c r="EC52" s="332"/>
      <c r="ED52" s="332"/>
      <c r="EE52" s="332"/>
      <c r="EF52" s="332"/>
      <c r="EG52" s="332"/>
      <c r="EH52" s="332"/>
      <c r="EI52" s="332"/>
      <c r="EJ52" s="332"/>
      <c r="EK52" s="332"/>
      <c r="EL52" s="332"/>
      <c r="EM52" s="332"/>
      <c r="EN52" s="332"/>
      <c r="EO52" s="332"/>
      <c r="EP52" s="332"/>
      <c r="EQ52" s="332"/>
      <c r="ER52" s="332"/>
      <c r="ES52" s="332"/>
      <c r="ET52" s="332"/>
      <c r="EU52" s="332"/>
      <c r="EV52" s="332"/>
      <c r="EW52" s="332"/>
      <c r="EX52" s="332"/>
      <c r="EY52" s="332"/>
      <c r="EZ52" s="332"/>
      <c r="FA52" s="332"/>
      <c r="FB52" s="332"/>
      <c r="FC52" s="332"/>
      <c r="FD52" s="332"/>
      <c r="FE52" s="332"/>
      <c r="FF52" s="332"/>
      <c r="FG52" s="332"/>
      <c r="FH52" s="332"/>
      <c r="FI52" s="332"/>
      <c r="FJ52" s="332"/>
      <c r="FK52" s="332"/>
      <c r="FL52" s="332"/>
      <c r="FM52" s="332"/>
      <c r="FN52" s="332"/>
      <c r="FO52" s="332"/>
      <c r="FP52" s="332"/>
      <c r="FQ52" s="332"/>
      <c r="FR52" s="332"/>
      <c r="FS52" s="332"/>
      <c r="FT52" s="332"/>
      <c r="FU52" s="332"/>
      <c r="FV52" s="332"/>
      <c r="FW52" s="332"/>
      <c r="FX52" s="332"/>
      <c r="FY52" s="332"/>
      <c r="FZ52" s="332"/>
      <c r="GA52" s="332"/>
      <c r="GB52" s="332"/>
      <c r="GC52" s="332"/>
      <c r="GD52" s="332"/>
      <c r="GE52" s="332"/>
      <c r="GF52" s="332"/>
      <c r="GG52" s="332"/>
      <c r="GH52" s="332"/>
      <c r="GI52" s="332"/>
      <c r="GJ52" s="332"/>
      <c r="GK52" s="332"/>
      <c r="GL52" s="332"/>
      <c r="GM52" s="332"/>
      <c r="GN52" s="332"/>
      <c r="GO52" s="332"/>
      <c r="GP52" s="332"/>
      <c r="GQ52" s="332"/>
      <c r="GR52" s="332"/>
      <c r="GS52" s="332"/>
      <c r="GT52" s="332"/>
      <c r="GU52" s="332"/>
      <c r="GV52" s="332"/>
      <c r="GW52" s="332"/>
      <c r="GX52" s="332"/>
      <c r="GY52" s="332"/>
      <c r="GZ52" s="332"/>
      <c r="HA52" s="332"/>
      <c r="HB52" s="332"/>
      <c r="HC52" s="332"/>
      <c r="HD52" s="332"/>
      <c r="HE52" s="332"/>
      <c r="HF52" s="332"/>
      <c r="HG52" s="332"/>
      <c r="HH52" s="332"/>
      <c r="HI52" s="332"/>
      <c r="HJ52" s="332"/>
      <c r="HK52" s="332"/>
      <c r="HL52" s="332"/>
      <c r="HM52" s="332"/>
      <c r="HN52" s="332"/>
      <c r="HO52" s="332"/>
      <c r="HP52" s="332"/>
      <c r="HQ52" s="332"/>
      <c r="HR52" s="332"/>
      <c r="HS52" s="332"/>
      <c r="HT52" s="332"/>
      <c r="HU52" s="332"/>
      <c r="HV52" s="332"/>
      <c r="HW52" s="332"/>
      <c r="HX52" s="332"/>
      <c r="HY52" s="332"/>
      <c r="HZ52" s="332"/>
      <c r="IA52" s="332"/>
      <c r="IB52" s="332"/>
      <c r="IC52" s="332"/>
      <c r="ID52" s="332"/>
      <c r="IE52" s="332"/>
      <c r="IF52" s="332"/>
      <c r="IG52" s="332"/>
      <c r="IH52" s="332"/>
      <c r="II52" s="332"/>
      <c r="IJ52" s="332"/>
      <c r="IK52" s="332"/>
      <c r="IL52" s="332"/>
      <c r="IM52" s="332"/>
      <c r="IN52" s="332"/>
      <c r="IO52" s="332"/>
      <c r="IP52" s="332"/>
      <c r="IQ52" s="332"/>
      <c r="IR52" s="332"/>
      <c r="IS52" s="332"/>
      <c r="IT52" s="332"/>
      <c r="IU52" s="332"/>
      <c r="IV52" s="332"/>
      <c r="IW52" s="332"/>
    </row>
    <row r="53" customFormat="false" ht="12.75" hidden="false" customHeight="false" outlineLevel="0" collapsed="false">
      <c r="A53" s="313"/>
      <c r="B53" s="314"/>
      <c r="C53" s="328"/>
      <c r="D53" s="314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17"/>
      <c r="AA53" s="332"/>
      <c r="AB53" s="136" t="n">
        <f aca="false">AB52+1</f>
        <v>47</v>
      </c>
      <c r="AC53" s="332"/>
      <c r="AD53" s="332"/>
      <c r="AE53" s="332"/>
      <c r="AF53" s="332"/>
      <c r="AG53" s="332"/>
      <c r="AH53" s="332"/>
      <c r="AI53" s="332"/>
      <c r="AJ53" s="332"/>
      <c r="AK53" s="332"/>
      <c r="AL53" s="332"/>
      <c r="AM53" s="332"/>
      <c r="AN53" s="332"/>
      <c r="AO53" s="332"/>
      <c r="AP53" s="332"/>
      <c r="AQ53" s="332"/>
      <c r="AR53" s="332"/>
      <c r="AS53" s="332"/>
      <c r="AT53" s="332"/>
      <c r="AU53" s="332"/>
      <c r="AV53" s="332"/>
      <c r="AW53" s="332"/>
      <c r="AX53" s="332"/>
      <c r="AY53" s="332"/>
      <c r="AZ53" s="332"/>
      <c r="BA53" s="332"/>
      <c r="BB53" s="332"/>
      <c r="BC53" s="332"/>
      <c r="BD53" s="332"/>
      <c r="BE53" s="332"/>
      <c r="BF53" s="332"/>
      <c r="BG53" s="332"/>
      <c r="BH53" s="332"/>
      <c r="BI53" s="332"/>
      <c r="BJ53" s="332"/>
      <c r="BK53" s="332"/>
      <c r="BL53" s="332"/>
      <c r="BM53" s="332"/>
      <c r="BN53" s="332"/>
      <c r="BO53" s="332"/>
      <c r="BP53" s="332"/>
      <c r="BQ53" s="332"/>
      <c r="BR53" s="332"/>
      <c r="BS53" s="332"/>
      <c r="BT53" s="332"/>
      <c r="BU53" s="332"/>
      <c r="BV53" s="332"/>
      <c r="BW53" s="332"/>
      <c r="BX53" s="332"/>
      <c r="BY53" s="332"/>
      <c r="BZ53" s="332"/>
      <c r="CA53" s="332"/>
      <c r="CB53" s="332"/>
      <c r="CC53" s="332"/>
      <c r="CD53" s="332"/>
      <c r="CE53" s="332"/>
      <c r="CF53" s="332"/>
      <c r="CG53" s="332"/>
      <c r="CH53" s="332"/>
      <c r="CI53" s="332"/>
      <c r="CJ53" s="332"/>
      <c r="CK53" s="332"/>
      <c r="CL53" s="332"/>
      <c r="CM53" s="332"/>
      <c r="CN53" s="332"/>
      <c r="CO53" s="332"/>
      <c r="CP53" s="332"/>
      <c r="CQ53" s="332"/>
      <c r="CR53" s="332"/>
      <c r="CS53" s="332"/>
      <c r="CT53" s="332"/>
      <c r="CU53" s="332"/>
      <c r="CV53" s="332"/>
      <c r="CW53" s="332"/>
      <c r="CX53" s="332"/>
      <c r="CY53" s="332"/>
      <c r="CZ53" s="332"/>
      <c r="DA53" s="332"/>
      <c r="DB53" s="332"/>
      <c r="DC53" s="332"/>
      <c r="DD53" s="332"/>
      <c r="DE53" s="332"/>
      <c r="DF53" s="332"/>
      <c r="DG53" s="332"/>
      <c r="DH53" s="332"/>
      <c r="DI53" s="332"/>
      <c r="DJ53" s="332"/>
      <c r="DK53" s="332"/>
      <c r="DL53" s="332"/>
      <c r="DM53" s="332"/>
      <c r="DN53" s="332"/>
      <c r="DO53" s="332"/>
      <c r="DP53" s="332"/>
      <c r="DQ53" s="332"/>
      <c r="DR53" s="332"/>
      <c r="DS53" s="332"/>
      <c r="DT53" s="332"/>
      <c r="DU53" s="332"/>
      <c r="DV53" s="332"/>
      <c r="DW53" s="332"/>
      <c r="DX53" s="332"/>
      <c r="DY53" s="332"/>
      <c r="DZ53" s="332"/>
      <c r="EA53" s="332"/>
      <c r="EB53" s="332"/>
      <c r="EC53" s="332"/>
      <c r="ED53" s="332"/>
      <c r="EE53" s="332"/>
      <c r="EF53" s="332"/>
      <c r="EG53" s="332"/>
      <c r="EH53" s="332"/>
      <c r="EI53" s="332"/>
      <c r="EJ53" s="332"/>
      <c r="EK53" s="332"/>
      <c r="EL53" s="332"/>
      <c r="EM53" s="332"/>
      <c r="EN53" s="332"/>
      <c r="EO53" s="332"/>
      <c r="EP53" s="332"/>
      <c r="EQ53" s="332"/>
      <c r="ER53" s="332"/>
      <c r="ES53" s="332"/>
      <c r="ET53" s="332"/>
      <c r="EU53" s="332"/>
      <c r="EV53" s="332"/>
      <c r="EW53" s="332"/>
      <c r="EX53" s="332"/>
      <c r="EY53" s="332"/>
      <c r="EZ53" s="332"/>
      <c r="FA53" s="332"/>
      <c r="FB53" s="332"/>
      <c r="FC53" s="332"/>
      <c r="FD53" s="332"/>
      <c r="FE53" s="332"/>
      <c r="FF53" s="332"/>
      <c r="FG53" s="332"/>
      <c r="FH53" s="332"/>
      <c r="FI53" s="332"/>
      <c r="FJ53" s="332"/>
      <c r="FK53" s="332"/>
      <c r="FL53" s="332"/>
      <c r="FM53" s="332"/>
      <c r="FN53" s="332"/>
      <c r="FO53" s="332"/>
      <c r="FP53" s="332"/>
      <c r="FQ53" s="332"/>
      <c r="FR53" s="332"/>
      <c r="FS53" s="332"/>
      <c r="FT53" s="332"/>
      <c r="FU53" s="332"/>
      <c r="FV53" s="332"/>
      <c r="FW53" s="332"/>
      <c r="FX53" s="332"/>
      <c r="FY53" s="332"/>
      <c r="FZ53" s="332"/>
      <c r="GA53" s="332"/>
      <c r="GB53" s="332"/>
      <c r="GC53" s="332"/>
      <c r="GD53" s="332"/>
      <c r="GE53" s="332"/>
      <c r="GF53" s="332"/>
      <c r="GG53" s="332"/>
      <c r="GH53" s="332"/>
      <c r="GI53" s="332"/>
      <c r="GJ53" s="332"/>
      <c r="GK53" s="332"/>
      <c r="GL53" s="332"/>
      <c r="GM53" s="332"/>
      <c r="GN53" s="332"/>
      <c r="GO53" s="332"/>
      <c r="GP53" s="332"/>
      <c r="GQ53" s="332"/>
      <c r="GR53" s="332"/>
      <c r="GS53" s="332"/>
      <c r="GT53" s="332"/>
      <c r="GU53" s="332"/>
      <c r="GV53" s="332"/>
      <c r="GW53" s="332"/>
      <c r="GX53" s="332"/>
      <c r="GY53" s="332"/>
      <c r="GZ53" s="332"/>
      <c r="HA53" s="332"/>
      <c r="HB53" s="332"/>
      <c r="HC53" s="332"/>
      <c r="HD53" s="332"/>
      <c r="HE53" s="332"/>
      <c r="HF53" s="332"/>
      <c r="HG53" s="332"/>
      <c r="HH53" s="332"/>
      <c r="HI53" s="332"/>
      <c r="HJ53" s="332"/>
      <c r="HK53" s="332"/>
      <c r="HL53" s="332"/>
      <c r="HM53" s="332"/>
      <c r="HN53" s="332"/>
      <c r="HO53" s="332"/>
      <c r="HP53" s="332"/>
      <c r="HQ53" s="332"/>
      <c r="HR53" s="332"/>
      <c r="HS53" s="332"/>
      <c r="HT53" s="332"/>
      <c r="HU53" s="332"/>
      <c r="HV53" s="332"/>
      <c r="HW53" s="332"/>
      <c r="HX53" s="332"/>
      <c r="HY53" s="332"/>
      <c r="HZ53" s="332"/>
      <c r="IA53" s="332"/>
      <c r="IB53" s="332"/>
      <c r="IC53" s="332"/>
      <c r="ID53" s="332"/>
      <c r="IE53" s="332"/>
      <c r="IF53" s="332"/>
      <c r="IG53" s="332"/>
      <c r="IH53" s="332"/>
      <c r="II53" s="332"/>
      <c r="IJ53" s="332"/>
      <c r="IK53" s="332"/>
      <c r="IL53" s="332"/>
      <c r="IM53" s="332"/>
      <c r="IN53" s="332"/>
      <c r="IO53" s="332"/>
      <c r="IP53" s="332"/>
      <c r="IQ53" s="332"/>
      <c r="IR53" s="332"/>
      <c r="IS53" s="332"/>
      <c r="IT53" s="332"/>
      <c r="IU53" s="332"/>
      <c r="IV53" s="332"/>
      <c r="IW53" s="332"/>
    </row>
    <row r="54" customFormat="false" ht="12.75" hidden="false" customHeight="false" outlineLevel="0" collapsed="false">
      <c r="A54" s="331" t="s">
        <v>352</v>
      </c>
      <c r="B54" s="328"/>
      <c r="C54" s="314"/>
      <c r="D54" s="328"/>
      <c r="E54" s="329" t="n">
        <f aca="false">SUM(E51:E52)</f>
        <v>0</v>
      </c>
      <c r="F54" s="329" t="n">
        <f aca="false">SUM(F51:F52)</f>
        <v>0</v>
      </c>
      <c r="G54" s="329" t="n">
        <f aca="false">SUM(G51:G52)</f>
        <v>-4849.95618144266</v>
      </c>
      <c r="H54" s="329" t="n">
        <f aca="false">SUM(H51:H52)</f>
        <v>-9312.2837301061</v>
      </c>
      <c r="I54" s="329" t="n">
        <f aca="false">SUM(I51:I52)</f>
        <v>-9485.89883460989</v>
      </c>
      <c r="J54" s="329" t="n">
        <f aca="false">SUM(J51:J52)</f>
        <v>-4607.39519923682</v>
      </c>
      <c r="K54" s="329" t="n">
        <f aca="false">SUM(K51:K52)</f>
        <v>-3349.54374666664</v>
      </c>
      <c r="L54" s="329" t="n">
        <f aca="false">SUM(L51:L52)</f>
        <v>-2354.1885095183</v>
      </c>
      <c r="M54" s="329" t="n">
        <f aca="false">SUM(M51:M52)</f>
        <v>-1067.11377141443</v>
      </c>
      <c r="N54" s="329" t="n">
        <f aca="false">SUM(N51:N52)</f>
        <v>662.541125906852</v>
      </c>
      <c r="O54" s="329" t="n">
        <f aca="false">SUM(O51:O52)</f>
        <v>1870.30035611718</v>
      </c>
      <c r="P54" s="329" t="n">
        <f aca="false">SUM(P51:P52)</f>
        <v>2803.37728598474</v>
      </c>
      <c r="Q54" s="329" t="n">
        <f aca="false">SUM(Q51:Q52)</f>
        <v>3968.89730170724</v>
      </c>
      <c r="R54" s="329" t="n">
        <f aca="false">SUM(R51:R52)</f>
        <v>5211.65626649462</v>
      </c>
      <c r="S54" s="329" t="n">
        <f aca="false">SUM(S51:S52)</f>
        <v>4965.94053341808</v>
      </c>
      <c r="T54" s="329" t="n">
        <f aca="false">SUM(T51:T52)</f>
        <v>7042.98528358139</v>
      </c>
      <c r="U54" s="329" t="n">
        <f aca="false">SUM(U51:U52)</f>
        <v>8082.46729805778</v>
      </c>
      <c r="V54" s="329" t="n">
        <f aca="false">SUM(V51:V52)</f>
        <v>8709.52594625471</v>
      </c>
      <c r="W54" s="329" t="n">
        <f aca="false">SUM(W51:W52)</f>
        <v>9134.39529070554</v>
      </c>
      <c r="X54" s="329" t="n">
        <f aca="false">SUM(X51:X52)</f>
        <v>9857.76968181769</v>
      </c>
      <c r="Y54" s="329" t="n">
        <f aca="false">SUM(Y51:Y52)</f>
        <v>3325.08732700337</v>
      </c>
      <c r="Z54" s="330" t="n">
        <f aca="false">SUM(E54:Y54)</f>
        <v>30608.5637240543</v>
      </c>
      <c r="AA54" s="327"/>
      <c r="AB54" s="136" t="n">
        <f aca="false">AB53+1</f>
        <v>48</v>
      </c>
      <c r="AC54" s="327"/>
      <c r="AD54" s="327"/>
      <c r="AE54" s="327"/>
      <c r="AF54" s="327"/>
      <c r="AG54" s="327"/>
      <c r="AH54" s="327"/>
      <c r="AI54" s="327"/>
      <c r="AJ54" s="327"/>
      <c r="AK54" s="327"/>
      <c r="AL54" s="327"/>
      <c r="AM54" s="327"/>
      <c r="AN54" s="327"/>
      <c r="AO54" s="327"/>
      <c r="AP54" s="327"/>
      <c r="AQ54" s="32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7"/>
      <c r="BC54" s="327"/>
      <c r="BD54" s="327"/>
      <c r="BE54" s="327"/>
      <c r="BF54" s="327"/>
      <c r="BG54" s="327"/>
      <c r="BH54" s="327"/>
      <c r="BI54" s="327"/>
      <c r="BJ54" s="327"/>
      <c r="BK54" s="327"/>
      <c r="BL54" s="327"/>
      <c r="BM54" s="327"/>
      <c r="BN54" s="327"/>
      <c r="BO54" s="327"/>
      <c r="BP54" s="327"/>
      <c r="BQ54" s="327"/>
      <c r="BR54" s="327"/>
      <c r="BS54" s="327"/>
      <c r="BT54" s="327"/>
      <c r="BU54" s="327"/>
      <c r="BV54" s="327"/>
      <c r="BW54" s="327"/>
      <c r="BX54" s="327"/>
      <c r="BY54" s="327"/>
      <c r="BZ54" s="327"/>
      <c r="CA54" s="327"/>
      <c r="CB54" s="327"/>
      <c r="CC54" s="327"/>
      <c r="CD54" s="327"/>
      <c r="CE54" s="327"/>
      <c r="CF54" s="327"/>
      <c r="CG54" s="327"/>
      <c r="CH54" s="327"/>
      <c r="CI54" s="327"/>
      <c r="CJ54" s="327"/>
      <c r="CK54" s="327"/>
      <c r="CL54" s="327"/>
      <c r="CM54" s="327"/>
      <c r="CN54" s="327"/>
      <c r="CO54" s="327"/>
      <c r="CP54" s="327"/>
      <c r="CQ54" s="327"/>
      <c r="CR54" s="327"/>
      <c r="CS54" s="327"/>
      <c r="CT54" s="327"/>
      <c r="CU54" s="327"/>
      <c r="CV54" s="327"/>
      <c r="CW54" s="327"/>
      <c r="CX54" s="327"/>
      <c r="CY54" s="327"/>
      <c r="CZ54" s="327"/>
      <c r="DA54" s="327"/>
      <c r="DB54" s="327"/>
      <c r="DC54" s="327"/>
      <c r="DD54" s="327"/>
      <c r="DE54" s="327"/>
      <c r="DF54" s="327"/>
      <c r="DG54" s="327"/>
      <c r="DH54" s="327"/>
      <c r="DI54" s="327"/>
      <c r="DJ54" s="327"/>
      <c r="DK54" s="327"/>
      <c r="DL54" s="327"/>
      <c r="DM54" s="327"/>
      <c r="DN54" s="327"/>
      <c r="DO54" s="327"/>
      <c r="DP54" s="327"/>
      <c r="DQ54" s="327"/>
      <c r="DR54" s="327"/>
      <c r="DS54" s="327"/>
      <c r="DT54" s="327"/>
      <c r="DU54" s="327"/>
      <c r="DV54" s="327"/>
      <c r="DW54" s="327"/>
      <c r="DX54" s="327"/>
      <c r="DY54" s="327"/>
      <c r="DZ54" s="327"/>
      <c r="EA54" s="327"/>
      <c r="EB54" s="327"/>
      <c r="EC54" s="327"/>
      <c r="ED54" s="327"/>
      <c r="EE54" s="327"/>
      <c r="EF54" s="327"/>
      <c r="EG54" s="327"/>
      <c r="EH54" s="327"/>
      <c r="EI54" s="327"/>
      <c r="EJ54" s="327"/>
      <c r="EK54" s="327"/>
      <c r="EL54" s="327"/>
      <c r="EM54" s="327"/>
      <c r="EN54" s="327"/>
      <c r="EO54" s="327"/>
      <c r="EP54" s="327"/>
      <c r="EQ54" s="327"/>
      <c r="ER54" s="327"/>
      <c r="ES54" s="327"/>
      <c r="ET54" s="327"/>
      <c r="EU54" s="327"/>
      <c r="EV54" s="327"/>
      <c r="EW54" s="327"/>
      <c r="EX54" s="327"/>
      <c r="EY54" s="327"/>
      <c r="EZ54" s="327"/>
      <c r="FA54" s="327"/>
      <c r="FB54" s="327"/>
      <c r="FC54" s="327"/>
      <c r="FD54" s="327"/>
      <c r="FE54" s="327"/>
      <c r="FF54" s="327"/>
      <c r="FG54" s="327"/>
      <c r="FH54" s="327"/>
      <c r="FI54" s="327"/>
      <c r="FJ54" s="327"/>
      <c r="FK54" s="327"/>
      <c r="FL54" s="327"/>
      <c r="FM54" s="327"/>
      <c r="FN54" s="327"/>
      <c r="FO54" s="327"/>
      <c r="FP54" s="327"/>
      <c r="FQ54" s="327"/>
      <c r="FR54" s="327"/>
      <c r="FS54" s="327"/>
      <c r="FT54" s="327"/>
      <c r="FU54" s="327"/>
      <c r="FV54" s="327"/>
      <c r="FW54" s="327"/>
      <c r="FX54" s="327"/>
      <c r="FY54" s="327"/>
      <c r="FZ54" s="327"/>
      <c r="GA54" s="327"/>
      <c r="GB54" s="327"/>
      <c r="GC54" s="327"/>
      <c r="GD54" s="327"/>
      <c r="GE54" s="327"/>
      <c r="GF54" s="327"/>
      <c r="GG54" s="327"/>
      <c r="GH54" s="327"/>
      <c r="GI54" s="327"/>
      <c r="GJ54" s="327"/>
      <c r="GK54" s="327"/>
      <c r="GL54" s="327"/>
      <c r="GM54" s="327"/>
      <c r="GN54" s="327"/>
      <c r="GO54" s="327"/>
      <c r="GP54" s="327"/>
      <c r="GQ54" s="327"/>
      <c r="GR54" s="327"/>
      <c r="GS54" s="327"/>
      <c r="GT54" s="327"/>
      <c r="GU54" s="327"/>
      <c r="GV54" s="327"/>
      <c r="GW54" s="327"/>
      <c r="GX54" s="327"/>
      <c r="GY54" s="327"/>
      <c r="GZ54" s="327"/>
      <c r="HA54" s="327"/>
      <c r="HB54" s="327"/>
      <c r="HC54" s="327"/>
      <c r="HD54" s="327"/>
      <c r="HE54" s="327"/>
      <c r="HF54" s="327"/>
      <c r="HG54" s="327"/>
      <c r="HH54" s="327"/>
      <c r="HI54" s="327"/>
      <c r="HJ54" s="327"/>
      <c r="HK54" s="327"/>
      <c r="HL54" s="327"/>
      <c r="HM54" s="327"/>
      <c r="HN54" s="327"/>
      <c r="HO54" s="327"/>
      <c r="HP54" s="327"/>
      <c r="HQ54" s="327"/>
      <c r="HR54" s="327"/>
      <c r="HS54" s="327"/>
      <c r="HT54" s="327"/>
      <c r="HU54" s="327"/>
      <c r="HV54" s="327"/>
      <c r="HW54" s="327"/>
      <c r="HX54" s="327"/>
      <c r="HY54" s="327"/>
      <c r="HZ54" s="327"/>
      <c r="IA54" s="327"/>
      <c r="IB54" s="327"/>
      <c r="IC54" s="327"/>
      <c r="ID54" s="327"/>
      <c r="IE54" s="327"/>
      <c r="IF54" s="327"/>
      <c r="IG54" s="327"/>
      <c r="IH54" s="327"/>
      <c r="II54" s="327"/>
      <c r="IJ54" s="327"/>
      <c r="IK54" s="327"/>
      <c r="IL54" s="327"/>
      <c r="IM54" s="327"/>
      <c r="IN54" s="327"/>
      <c r="IO54" s="327"/>
      <c r="IP54" s="327"/>
      <c r="IQ54" s="327"/>
      <c r="IR54" s="327"/>
      <c r="IS54" s="327"/>
      <c r="IT54" s="327"/>
      <c r="IU54" s="327"/>
      <c r="IV54" s="327"/>
      <c r="IW54" s="327"/>
    </row>
    <row r="55" customFormat="false" ht="12.75" hidden="false" customHeight="false" outlineLevel="0" collapsed="false">
      <c r="A55" s="313"/>
      <c r="B55" s="314" t="s">
        <v>353</v>
      </c>
      <c r="C55" s="314"/>
      <c r="D55" s="314"/>
      <c r="E55" s="325" t="n">
        <f aca="false">-Taxes!D84</f>
        <v>-0</v>
      </c>
      <c r="F55" s="325" t="n">
        <f aca="false">-Taxes!E84</f>
        <v>-0</v>
      </c>
      <c r="G55" s="325" t="n">
        <f aca="false">-Taxes!F84</f>
        <v>-0</v>
      </c>
      <c r="H55" s="325" t="n">
        <f aca="false">-Taxes!G84</f>
        <v>-0</v>
      </c>
      <c r="I55" s="325" t="n">
        <f aca="false">-Taxes!H84</f>
        <v>-0</v>
      </c>
      <c r="J55" s="325" t="n">
        <f aca="false">-Taxes!I84</f>
        <v>-0</v>
      </c>
      <c r="K55" s="325" t="n">
        <f aca="false">-Taxes!J84</f>
        <v>-0</v>
      </c>
      <c r="L55" s="325" t="n">
        <f aca="false">-Taxes!K84</f>
        <v>-0</v>
      </c>
      <c r="M55" s="325" t="n">
        <f aca="false">-Taxes!L84</f>
        <v>-174.324282490501</v>
      </c>
      <c r="N55" s="325" t="n">
        <f aca="false">-Taxes!M84</f>
        <v>-517.842586717923</v>
      </c>
      <c r="O55" s="325" t="n">
        <f aca="false">-Taxes!N84</f>
        <v>-733.282099722669</v>
      </c>
      <c r="P55" s="325" t="n">
        <f aca="false">-Taxes!O84</f>
        <v>-876.73961748338</v>
      </c>
      <c r="Q55" s="325" t="n">
        <f aca="false">-Taxes!P84</f>
        <v>-1064.21611343746</v>
      </c>
      <c r="R55" s="325" t="n">
        <f aca="false">-Taxes!Q84</f>
        <v>-1258.56075482547</v>
      </c>
      <c r="S55" s="325" t="n">
        <f aca="false">-Taxes!R84</f>
        <v>-1124.59705195197</v>
      </c>
      <c r="T55" s="325" t="n">
        <f aca="false">-Taxes!S84</f>
        <v>-1604.3943892397</v>
      </c>
      <c r="U55" s="325" t="n">
        <f aca="false">-Taxes!T84</f>
        <v>-1844.51473458374</v>
      </c>
      <c r="V55" s="325" t="n">
        <f aca="false">-Taxes!U84</f>
        <v>-1989.36528231723</v>
      </c>
      <c r="W55" s="325" t="n">
        <f aca="false">-Taxes!V84</f>
        <v>-2087.51010088537</v>
      </c>
      <c r="X55" s="325" t="n">
        <f aca="false">-Taxes!W84</f>
        <v>-2276.40081629353</v>
      </c>
      <c r="Y55" s="325" t="n">
        <f aca="false">-Taxes!X84</f>
        <v>-1089.76708082191</v>
      </c>
      <c r="Z55" s="326" t="n">
        <f aca="false">SUM(E55:Y55)</f>
        <v>-16641.5149107709</v>
      </c>
      <c r="AA55" s="328"/>
      <c r="AB55" s="136" t="n">
        <f aca="false">AB54+1</f>
        <v>49</v>
      </c>
      <c r="AC55" s="328"/>
      <c r="AD55" s="328"/>
      <c r="AE55" s="328"/>
      <c r="AF55" s="328"/>
      <c r="AG55" s="328"/>
      <c r="AH55" s="328"/>
      <c r="AI55" s="328"/>
      <c r="AJ55" s="328"/>
      <c r="AK55" s="328"/>
      <c r="AL55" s="328"/>
      <c r="AM55" s="328"/>
      <c r="AN55" s="328"/>
      <c r="AO55" s="328"/>
      <c r="AP55" s="328"/>
      <c r="AQ55" s="328"/>
      <c r="AR55" s="328"/>
      <c r="AS55" s="328"/>
      <c r="AT55" s="328"/>
      <c r="AU55" s="328"/>
      <c r="AV55" s="328"/>
      <c r="AW55" s="328"/>
      <c r="AX55" s="328"/>
      <c r="AY55" s="328"/>
      <c r="AZ55" s="328"/>
      <c r="BA55" s="328"/>
      <c r="BB55" s="328"/>
      <c r="BC55" s="328"/>
      <c r="BD55" s="328"/>
      <c r="BE55" s="328"/>
      <c r="BF55" s="328"/>
      <c r="BG55" s="328"/>
      <c r="BH55" s="328"/>
      <c r="BI55" s="328"/>
      <c r="BJ55" s="328"/>
      <c r="BK55" s="328"/>
      <c r="BL55" s="328"/>
      <c r="BM55" s="328"/>
      <c r="BN55" s="328"/>
      <c r="BO55" s="328"/>
      <c r="BP55" s="328"/>
      <c r="BQ55" s="328"/>
      <c r="BR55" s="328"/>
      <c r="BS55" s="328"/>
      <c r="BT55" s="328"/>
      <c r="BU55" s="328"/>
      <c r="BV55" s="328"/>
      <c r="BW55" s="328"/>
      <c r="BX55" s="328"/>
      <c r="BY55" s="328"/>
      <c r="BZ55" s="328"/>
      <c r="CA55" s="328"/>
      <c r="CB55" s="328"/>
      <c r="CC55" s="328"/>
      <c r="CD55" s="328"/>
      <c r="CE55" s="328"/>
      <c r="CF55" s="328"/>
      <c r="CG55" s="328"/>
      <c r="CH55" s="328"/>
      <c r="CI55" s="328"/>
      <c r="CJ55" s="328"/>
      <c r="CK55" s="328"/>
      <c r="CL55" s="328"/>
      <c r="CM55" s="328"/>
      <c r="CN55" s="328"/>
      <c r="CO55" s="328"/>
      <c r="CP55" s="328"/>
      <c r="CQ55" s="328"/>
      <c r="CR55" s="328"/>
      <c r="CS55" s="328"/>
      <c r="CT55" s="328"/>
      <c r="CU55" s="328"/>
      <c r="CV55" s="328"/>
      <c r="CW55" s="328"/>
      <c r="CX55" s="328"/>
      <c r="CY55" s="328"/>
      <c r="CZ55" s="328"/>
      <c r="DA55" s="328"/>
      <c r="DB55" s="328"/>
      <c r="DC55" s="328"/>
      <c r="DD55" s="328"/>
      <c r="DE55" s="328"/>
      <c r="DF55" s="328"/>
      <c r="DG55" s="328"/>
      <c r="DH55" s="328"/>
      <c r="DI55" s="328"/>
      <c r="DJ55" s="328"/>
      <c r="DK55" s="328"/>
      <c r="DL55" s="328"/>
      <c r="DM55" s="328"/>
      <c r="DN55" s="328"/>
      <c r="DO55" s="328"/>
      <c r="DP55" s="328"/>
      <c r="DQ55" s="328"/>
      <c r="DR55" s="328"/>
      <c r="DS55" s="328"/>
      <c r="DT55" s="328"/>
      <c r="DU55" s="328"/>
      <c r="DV55" s="328"/>
      <c r="DW55" s="328"/>
      <c r="DX55" s="328"/>
      <c r="DY55" s="328"/>
      <c r="DZ55" s="328"/>
      <c r="EA55" s="328"/>
      <c r="EB55" s="328"/>
      <c r="EC55" s="328"/>
      <c r="ED55" s="328"/>
      <c r="EE55" s="328"/>
      <c r="EF55" s="328"/>
      <c r="EG55" s="328"/>
      <c r="EH55" s="328"/>
      <c r="EI55" s="328"/>
      <c r="EJ55" s="328"/>
      <c r="EK55" s="328"/>
      <c r="EL55" s="328"/>
      <c r="EM55" s="328"/>
      <c r="EN55" s="328"/>
      <c r="EO55" s="328"/>
      <c r="EP55" s="328"/>
      <c r="EQ55" s="328"/>
      <c r="ER55" s="328"/>
      <c r="ES55" s="328"/>
      <c r="ET55" s="328"/>
      <c r="EU55" s="328"/>
      <c r="EV55" s="328"/>
      <c r="EW55" s="328"/>
      <c r="EX55" s="328"/>
      <c r="EY55" s="328"/>
      <c r="EZ55" s="328"/>
      <c r="FA55" s="328"/>
      <c r="FB55" s="328"/>
      <c r="FC55" s="328"/>
      <c r="FD55" s="328"/>
      <c r="FE55" s="328"/>
      <c r="FF55" s="328"/>
      <c r="FG55" s="328"/>
      <c r="FH55" s="328"/>
      <c r="FI55" s="328"/>
      <c r="FJ55" s="328"/>
      <c r="FK55" s="328"/>
      <c r="FL55" s="328"/>
      <c r="FM55" s="328"/>
      <c r="FN55" s="328"/>
      <c r="FO55" s="328"/>
      <c r="FP55" s="328"/>
      <c r="FQ55" s="328"/>
      <c r="FR55" s="328"/>
      <c r="FS55" s="328"/>
      <c r="FT55" s="328"/>
      <c r="FU55" s="328"/>
      <c r="FV55" s="328"/>
      <c r="FW55" s="328"/>
      <c r="FX55" s="328"/>
      <c r="FY55" s="328"/>
      <c r="FZ55" s="328"/>
      <c r="GA55" s="328"/>
      <c r="GB55" s="328"/>
      <c r="GC55" s="328"/>
      <c r="GD55" s="328"/>
      <c r="GE55" s="328"/>
      <c r="GF55" s="328"/>
      <c r="GG55" s="328"/>
      <c r="GH55" s="328"/>
      <c r="GI55" s="328"/>
      <c r="GJ55" s="328"/>
      <c r="GK55" s="328"/>
      <c r="GL55" s="328"/>
      <c r="GM55" s="328"/>
      <c r="GN55" s="328"/>
      <c r="GO55" s="328"/>
      <c r="GP55" s="328"/>
      <c r="GQ55" s="328"/>
      <c r="GR55" s="328"/>
      <c r="GS55" s="328"/>
      <c r="GT55" s="328"/>
      <c r="GU55" s="328"/>
      <c r="GV55" s="328"/>
      <c r="GW55" s="328"/>
      <c r="GX55" s="328"/>
      <c r="GY55" s="328"/>
      <c r="GZ55" s="328"/>
      <c r="HA55" s="328"/>
      <c r="HB55" s="328"/>
      <c r="HC55" s="328"/>
      <c r="HD55" s="328"/>
      <c r="HE55" s="328"/>
      <c r="HF55" s="328"/>
      <c r="HG55" s="328"/>
      <c r="HH55" s="328"/>
      <c r="HI55" s="328"/>
      <c r="HJ55" s="328"/>
      <c r="HK55" s="328"/>
      <c r="HL55" s="328"/>
      <c r="HM55" s="328"/>
      <c r="HN55" s="328"/>
      <c r="HO55" s="328"/>
      <c r="HP55" s="328"/>
      <c r="HQ55" s="328"/>
      <c r="HR55" s="328"/>
      <c r="HS55" s="328"/>
      <c r="HT55" s="328"/>
      <c r="HU55" s="328"/>
      <c r="HV55" s="328"/>
      <c r="HW55" s="328"/>
      <c r="HX55" s="328"/>
      <c r="HY55" s="328"/>
      <c r="HZ55" s="328"/>
      <c r="IA55" s="328"/>
      <c r="IB55" s="328"/>
      <c r="IC55" s="328"/>
      <c r="ID55" s="328"/>
      <c r="IE55" s="328"/>
      <c r="IF55" s="328"/>
      <c r="IG55" s="328"/>
      <c r="IH55" s="328"/>
      <c r="II55" s="328"/>
      <c r="IJ55" s="328"/>
      <c r="IK55" s="328"/>
      <c r="IL55" s="328"/>
      <c r="IM55" s="328"/>
      <c r="IN55" s="328"/>
      <c r="IO55" s="328"/>
      <c r="IP55" s="328"/>
      <c r="IQ55" s="328"/>
      <c r="IR55" s="328"/>
      <c r="IS55" s="328"/>
      <c r="IT55" s="328"/>
      <c r="IU55" s="328"/>
      <c r="IV55" s="328"/>
      <c r="IW55" s="328"/>
    </row>
    <row r="56" customFormat="false" ht="12.75" hidden="false" customHeight="false" outlineLevel="0" collapsed="false">
      <c r="A56" s="313"/>
      <c r="B56" s="314"/>
      <c r="C56" s="314"/>
      <c r="D56" s="314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7"/>
      <c r="AA56" s="332"/>
      <c r="AB56" s="136" t="n">
        <f aca="false">AB55+1</f>
        <v>50</v>
      </c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  <c r="AP56" s="332"/>
      <c r="AQ56" s="332"/>
      <c r="AR56" s="332"/>
      <c r="AS56" s="332"/>
      <c r="AT56" s="332"/>
      <c r="AU56" s="332"/>
      <c r="AV56" s="332"/>
      <c r="AW56" s="332"/>
      <c r="AX56" s="332"/>
      <c r="AY56" s="332"/>
      <c r="AZ56" s="332"/>
      <c r="BA56" s="332"/>
      <c r="BB56" s="332"/>
      <c r="BC56" s="332"/>
      <c r="BD56" s="332"/>
      <c r="BE56" s="332"/>
      <c r="BF56" s="332"/>
      <c r="BG56" s="332"/>
      <c r="BH56" s="332"/>
      <c r="BI56" s="332"/>
      <c r="BJ56" s="332"/>
      <c r="BK56" s="332"/>
      <c r="BL56" s="332"/>
      <c r="BM56" s="332"/>
      <c r="BN56" s="332"/>
      <c r="BO56" s="332"/>
      <c r="BP56" s="332"/>
      <c r="BQ56" s="332"/>
      <c r="BR56" s="332"/>
      <c r="BS56" s="332"/>
      <c r="BT56" s="332"/>
      <c r="BU56" s="332"/>
      <c r="BV56" s="332"/>
      <c r="BW56" s="332"/>
      <c r="BX56" s="332"/>
      <c r="BY56" s="332"/>
      <c r="BZ56" s="332"/>
      <c r="CA56" s="332"/>
      <c r="CB56" s="332"/>
      <c r="CC56" s="332"/>
      <c r="CD56" s="332"/>
      <c r="CE56" s="332"/>
      <c r="CF56" s="332"/>
      <c r="CG56" s="332"/>
      <c r="CH56" s="332"/>
      <c r="CI56" s="332"/>
      <c r="CJ56" s="332"/>
      <c r="CK56" s="332"/>
      <c r="CL56" s="332"/>
      <c r="CM56" s="332"/>
      <c r="CN56" s="332"/>
      <c r="CO56" s="332"/>
      <c r="CP56" s="332"/>
      <c r="CQ56" s="332"/>
      <c r="CR56" s="332"/>
      <c r="CS56" s="332"/>
      <c r="CT56" s="332"/>
      <c r="CU56" s="332"/>
      <c r="CV56" s="332"/>
      <c r="CW56" s="332"/>
      <c r="CX56" s="332"/>
      <c r="CY56" s="332"/>
      <c r="CZ56" s="332"/>
      <c r="DA56" s="332"/>
      <c r="DB56" s="332"/>
      <c r="DC56" s="332"/>
      <c r="DD56" s="332"/>
      <c r="DE56" s="332"/>
      <c r="DF56" s="332"/>
      <c r="DG56" s="332"/>
      <c r="DH56" s="332"/>
      <c r="DI56" s="332"/>
      <c r="DJ56" s="332"/>
      <c r="DK56" s="332"/>
      <c r="DL56" s="332"/>
      <c r="DM56" s="332"/>
      <c r="DN56" s="332"/>
      <c r="DO56" s="332"/>
      <c r="DP56" s="332"/>
      <c r="DQ56" s="332"/>
      <c r="DR56" s="332"/>
      <c r="DS56" s="332"/>
      <c r="DT56" s="332"/>
      <c r="DU56" s="332"/>
      <c r="DV56" s="332"/>
      <c r="DW56" s="332"/>
      <c r="DX56" s="332"/>
      <c r="DY56" s="332"/>
      <c r="DZ56" s="332"/>
      <c r="EA56" s="332"/>
      <c r="EB56" s="332"/>
      <c r="EC56" s="332"/>
      <c r="ED56" s="332"/>
      <c r="EE56" s="332"/>
      <c r="EF56" s="332"/>
      <c r="EG56" s="332"/>
      <c r="EH56" s="332"/>
      <c r="EI56" s="332"/>
      <c r="EJ56" s="332"/>
      <c r="EK56" s="332"/>
      <c r="EL56" s="332"/>
      <c r="EM56" s="332"/>
      <c r="EN56" s="332"/>
      <c r="EO56" s="332"/>
      <c r="EP56" s="332"/>
      <c r="EQ56" s="332"/>
      <c r="ER56" s="332"/>
      <c r="ES56" s="332"/>
      <c r="ET56" s="332"/>
      <c r="EU56" s="332"/>
      <c r="EV56" s="332"/>
      <c r="EW56" s="332"/>
      <c r="EX56" s="332"/>
      <c r="EY56" s="332"/>
      <c r="EZ56" s="332"/>
      <c r="FA56" s="332"/>
      <c r="FB56" s="332"/>
      <c r="FC56" s="332"/>
      <c r="FD56" s="332"/>
      <c r="FE56" s="332"/>
      <c r="FF56" s="332"/>
      <c r="FG56" s="332"/>
      <c r="FH56" s="332"/>
      <c r="FI56" s="332"/>
      <c r="FJ56" s="332"/>
      <c r="FK56" s="332"/>
      <c r="FL56" s="332"/>
      <c r="FM56" s="332"/>
      <c r="FN56" s="332"/>
      <c r="FO56" s="332"/>
      <c r="FP56" s="332"/>
      <c r="FQ56" s="332"/>
      <c r="FR56" s="332"/>
      <c r="FS56" s="332"/>
      <c r="FT56" s="332"/>
      <c r="FU56" s="332"/>
      <c r="FV56" s="332"/>
      <c r="FW56" s="332"/>
      <c r="FX56" s="332"/>
      <c r="FY56" s="332"/>
      <c r="FZ56" s="332"/>
      <c r="GA56" s="332"/>
      <c r="GB56" s="332"/>
      <c r="GC56" s="332"/>
      <c r="GD56" s="332"/>
      <c r="GE56" s="332"/>
      <c r="GF56" s="332"/>
      <c r="GG56" s="332"/>
      <c r="GH56" s="332"/>
      <c r="GI56" s="332"/>
      <c r="GJ56" s="332"/>
      <c r="GK56" s="332"/>
      <c r="GL56" s="332"/>
      <c r="GM56" s="332"/>
      <c r="GN56" s="332"/>
      <c r="GO56" s="332"/>
      <c r="GP56" s="332"/>
      <c r="GQ56" s="332"/>
      <c r="GR56" s="332"/>
      <c r="GS56" s="332"/>
      <c r="GT56" s="332"/>
      <c r="GU56" s="332"/>
      <c r="GV56" s="332"/>
      <c r="GW56" s="332"/>
      <c r="GX56" s="332"/>
      <c r="GY56" s="332"/>
      <c r="GZ56" s="332"/>
      <c r="HA56" s="332"/>
      <c r="HB56" s="332"/>
      <c r="HC56" s="332"/>
      <c r="HD56" s="332"/>
      <c r="HE56" s="332"/>
      <c r="HF56" s="332"/>
      <c r="HG56" s="332"/>
      <c r="HH56" s="332"/>
      <c r="HI56" s="332"/>
      <c r="HJ56" s="332"/>
      <c r="HK56" s="332"/>
      <c r="HL56" s="332"/>
      <c r="HM56" s="332"/>
      <c r="HN56" s="332"/>
      <c r="HO56" s="332"/>
      <c r="HP56" s="332"/>
      <c r="HQ56" s="332"/>
      <c r="HR56" s="332"/>
      <c r="HS56" s="332"/>
      <c r="HT56" s="332"/>
      <c r="HU56" s="332"/>
      <c r="HV56" s="332"/>
      <c r="HW56" s="332"/>
      <c r="HX56" s="332"/>
      <c r="HY56" s="332"/>
      <c r="HZ56" s="332"/>
      <c r="IA56" s="332"/>
      <c r="IB56" s="332"/>
      <c r="IC56" s="332"/>
      <c r="ID56" s="332"/>
      <c r="IE56" s="332"/>
      <c r="IF56" s="332"/>
      <c r="IG56" s="332"/>
      <c r="IH56" s="332"/>
      <c r="II56" s="332"/>
      <c r="IJ56" s="332"/>
      <c r="IK56" s="332"/>
      <c r="IL56" s="332"/>
      <c r="IM56" s="332"/>
      <c r="IN56" s="332"/>
      <c r="IO56" s="332"/>
      <c r="IP56" s="332"/>
      <c r="IQ56" s="332"/>
      <c r="IR56" s="332"/>
      <c r="IS56" s="332"/>
      <c r="IT56" s="332"/>
      <c r="IU56" s="332"/>
      <c r="IV56" s="332"/>
      <c r="IW56" s="332"/>
    </row>
    <row r="57" customFormat="false" ht="12.75" hidden="false" customHeight="false" outlineLevel="0" collapsed="false">
      <c r="A57" s="331" t="s">
        <v>354</v>
      </c>
      <c r="B57" s="328"/>
      <c r="C57" s="314"/>
      <c r="D57" s="328"/>
      <c r="E57" s="329" t="n">
        <f aca="false">SUM(E54:E55)</f>
        <v>0</v>
      </c>
      <c r="F57" s="329" t="n">
        <f aca="false">SUM(F54:F55)</f>
        <v>0</v>
      </c>
      <c r="G57" s="329" t="n">
        <f aca="false">SUM(G54:G55)</f>
        <v>-4849.95618144266</v>
      </c>
      <c r="H57" s="329" t="n">
        <f aca="false">SUM(H54:H55)</f>
        <v>-9312.2837301061</v>
      </c>
      <c r="I57" s="329" t="n">
        <f aca="false">SUM(I54:I55)</f>
        <v>-9485.89883460989</v>
      </c>
      <c r="J57" s="329" t="n">
        <f aca="false">SUM(J54:J55)</f>
        <v>-4607.39519923682</v>
      </c>
      <c r="K57" s="329" t="n">
        <f aca="false">SUM(K54:K55)</f>
        <v>-3349.54374666664</v>
      </c>
      <c r="L57" s="329" t="n">
        <f aca="false">SUM(L54:L55)</f>
        <v>-2354.1885095183</v>
      </c>
      <c r="M57" s="329" t="n">
        <f aca="false">SUM(M54:M55)</f>
        <v>-1241.43805390493</v>
      </c>
      <c r="N57" s="329" t="n">
        <f aca="false">SUM(N54:N55)</f>
        <v>144.698539188928</v>
      </c>
      <c r="O57" s="329" t="n">
        <f aca="false">SUM(O54:O55)</f>
        <v>1137.01825639451</v>
      </c>
      <c r="P57" s="329" t="n">
        <f aca="false">SUM(P54:P55)</f>
        <v>1926.63766850136</v>
      </c>
      <c r="Q57" s="329" t="n">
        <f aca="false">SUM(Q54:Q55)</f>
        <v>2904.68118826978</v>
      </c>
      <c r="R57" s="329" t="n">
        <f aca="false">SUM(R54:R55)</f>
        <v>3953.09551166915</v>
      </c>
      <c r="S57" s="329" t="n">
        <f aca="false">SUM(S54:S55)</f>
        <v>3841.34348146611</v>
      </c>
      <c r="T57" s="329" t="n">
        <f aca="false">SUM(T54:T55)</f>
        <v>5438.5908943417</v>
      </c>
      <c r="U57" s="329" t="n">
        <f aca="false">SUM(U54:U55)</f>
        <v>6237.95256347404</v>
      </c>
      <c r="V57" s="329" t="n">
        <f aca="false">SUM(V54:V55)</f>
        <v>6720.16066393748</v>
      </c>
      <c r="W57" s="329" t="n">
        <f aca="false">SUM(W54:W55)</f>
        <v>7046.88518982016</v>
      </c>
      <c r="X57" s="329" t="n">
        <f aca="false">SUM(X54:X55)</f>
        <v>7581.36886552416</v>
      </c>
      <c r="Y57" s="329" t="n">
        <f aca="false">SUM(Y54:Y55)</f>
        <v>2235.32024618146</v>
      </c>
      <c r="Z57" s="330" t="n">
        <f aca="false">SUM(E57:Y57)</f>
        <v>13967.0488132835</v>
      </c>
      <c r="AA57" s="327"/>
      <c r="AB57" s="136" t="n">
        <f aca="false">AB56+1</f>
        <v>51</v>
      </c>
      <c r="AC57" s="327"/>
      <c r="AD57" s="327"/>
      <c r="AE57" s="327"/>
      <c r="AF57" s="327"/>
      <c r="AG57" s="327"/>
      <c r="AH57" s="327"/>
      <c r="AI57" s="327"/>
      <c r="AJ57" s="327"/>
      <c r="AK57" s="327"/>
      <c r="AL57" s="327"/>
      <c r="AM57" s="327"/>
      <c r="AN57" s="327"/>
      <c r="AO57" s="327"/>
      <c r="AP57" s="327"/>
      <c r="AQ57" s="327"/>
      <c r="AR57" s="327"/>
      <c r="AS57" s="327"/>
      <c r="AT57" s="327"/>
      <c r="AU57" s="327"/>
      <c r="AV57" s="327"/>
      <c r="AW57" s="327"/>
      <c r="AX57" s="327"/>
      <c r="AY57" s="327"/>
      <c r="AZ57" s="327"/>
      <c r="BA57" s="327"/>
      <c r="BB57" s="327"/>
      <c r="BC57" s="327"/>
      <c r="BD57" s="327"/>
      <c r="BE57" s="327"/>
      <c r="BF57" s="327"/>
      <c r="BG57" s="327"/>
      <c r="BH57" s="327"/>
      <c r="BI57" s="327"/>
      <c r="BJ57" s="327"/>
      <c r="BK57" s="327"/>
      <c r="BL57" s="327"/>
      <c r="BM57" s="327"/>
      <c r="BN57" s="327"/>
      <c r="BO57" s="327"/>
      <c r="BP57" s="327"/>
      <c r="BQ57" s="327"/>
      <c r="BR57" s="327"/>
      <c r="BS57" s="327"/>
      <c r="BT57" s="327"/>
      <c r="BU57" s="327"/>
      <c r="BV57" s="327"/>
      <c r="BW57" s="327"/>
      <c r="BX57" s="327"/>
      <c r="BY57" s="327"/>
      <c r="BZ57" s="327"/>
      <c r="CA57" s="327"/>
      <c r="CB57" s="327"/>
      <c r="CC57" s="327"/>
      <c r="CD57" s="327"/>
      <c r="CE57" s="327"/>
      <c r="CF57" s="327"/>
      <c r="CG57" s="327"/>
      <c r="CH57" s="327"/>
      <c r="CI57" s="327"/>
      <c r="CJ57" s="327"/>
      <c r="CK57" s="327"/>
      <c r="CL57" s="327"/>
      <c r="CM57" s="327"/>
      <c r="CN57" s="327"/>
      <c r="CO57" s="327"/>
      <c r="CP57" s="327"/>
      <c r="CQ57" s="327"/>
      <c r="CR57" s="327"/>
      <c r="CS57" s="327"/>
      <c r="CT57" s="327"/>
      <c r="CU57" s="327"/>
      <c r="CV57" s="327"/>
      <c r="CW57" s="327"/>
      <c r="CX57" s="327"/>
      <c r="CY57" s="327"/>
      <c r="CZ57" s="327"/>
      <c r="DA57" s="327"/>
      <c r="DB57" s="327"/>
      <c r="DC57" s="327"/>
      <c r="DD57" s="327"/>
      <c r="DE57" s="327"/>
      <c r="DF57" s="327"/>
      <c r="DG57" s="327"/>
      <c r="DH57" s="327"/>
      <c r="DI57" s="327"/>
      <c r="DJ57" s="327"/>
      <c r="DK57" s="327"/>
      <c r="DL57" s="327"/>
      <c r="DM57" s="327"/>
      <c r="DN57" s="327"/>
      <c r="DO57" s="327"/>
      <c r="DP57" s="327"/>
      <c r="DQ57" s="327"/>
      <c r="DR57" s="327"/>
      <c r="DS57" s="327"/>
      <c r="DT57" s="327"/>
      <c r="DU57" s="327"/>
      <c r="DV57" s="327"/>
      <c r="DW57" s="327"/>
      <c r="DX57" s="327"/>
      <c r="DY57" s="327"/>
      <c r="DZ57" s="327"/>
      <c r="EA57" s="327"/>
      <c r="EB57" s="327"/>
      <c r="EC57" s="327"/>
      <c r="ED57" s="327"/>
      <c r="EE57" s="327"/>
      <c r="EF57" s="327"/>
      <c r="EG57" s="327"/>
      <c r="EH57" s="327"/>
      <c r="EI57" s="327"/>
      <c r="EJ57" s="327"/>
      <c r="EK57" s="327"/>
      <c r="EL57" s="327"/>
      <c r="EM57" s="327"/>
      <c r="EN57" s="327"/>
      <c r="EO57" s="327"/>
      <c r="EP57" s="327"/>
      <c r="EQ57" s="327"/>
      <c r="ER57" s="327"/>
      <c r="ES57" s="327"/>
      <c r="ET57" s="327"/>
      <c r="EU57" s="327"/>
      <c r="EV57" s="327"/>
      <c r="EW57" s="327"/>
      <c r="EX57" s="327"/>
      <c r="EY57" s="327"/>
      <c r="EZ57" s="327"/>
      <c r="FA57" s="327"/>
      <c r="FB57" s="327"/>
      <c r="FC57" s="327"/>
      <c r="FD57" s="327"/>
      <c r="FE57" s="327"/>
      <c r="FF57" s="327"/>
      <c r="FG57" s="327"/>
      <c r="FH57" s="327"/>
      <c r="FI57" s="327"/>
      <c r="FJ57" s="327"/>
      <c r="FK57" s="327"/>
      <c r="FL57" s="327"/>
      <c r="FM57" s="327"/>
      <c r="FN57" s="327"/>
      <c r="FO57" s="327"/>
      <c r="FP57" s="327"/>
      <c r="FQ57" s="327"/>
      <c r="FR57" s="327"/>
      <c r="FS57" s="327"/>
      <c r="FT57" s="327"/>
      <c r="FU57" s="327"/>
      <c r="FV57" s="327"/>
      <c r="FW57" s="327"/>
      <c r="FX57" s="327"/>
      <c r="FY57" s="327"/>
      <c r="FZ57" s="327"/>
      <c r="GA57" s="327"/>
      <c r="GB57" s="327"/>
      <c r="GC57" s="327"/>
      <c r="GD57" s="327"/>
      <c r="GE57" s="327"/>
      <c r="GF57" s="327"/>
      <c r="GG57" s="327"/>
      <c r="GH57" s="327"/>
      <c r="GI57" s="327"/>
      <c r="GJ57" s="327"/>
      <c r="GK57" s="327"/>
      <c r="GL57" s="327"/>
      <c r="GM57" s="327"/>
      <c r="GN57" s="327"/>
      <c r="GO57" s="327"/>
      <c r="GP57" s="327"/>
      <c r="GQ57" s="327"/>
      <c r="GR57" s="327"/>
      <c r="GS57" s="327"/>
      <c r="GT57" s="327"/>
      <c r="GU57" s="327"/>
      <c r="GV57" s="327"/>
      <c r="GW57" s="327"/>
      <c r="GX57" s="327"/>
      <c r="GY57" s="327"/>
      <c r="GZ57" s="327"/>
      <c r="HA57" s="327"/>
      <c r="HB57" s="327"/>
      <c r="HC57" s="327"/>
      <c r="HD57" s="327"/>
      <c r="HE57" s="327"/>
      <c r="HF57" s="327"/>
      <c r="HG57" s="327"/>
      <c r="HH57" s="327"/>
      <c r="HI57" s="327"/>
      <c r="HJ57" s="327"/>
      <c r="HK57" s="327"/>
      <c r="HL57" s="327"/>
      <c r="HM57" s="327"/>
      <c r="HN57" s="327"/>
      <c r="HO57" s="327"/>
      <c r="HP57" s="327"/>
      <c r="HQ57" s="327"/>
      <c r="HR57" s="327"/>
      <c r="HS57" s="327"/>
      <c r="HT57" s="327"/>
      <c r="HU57" s="327"/>
      <c r="HV57" s="327"/>
      <c r="HW57" s="327"/>
      <c r="HX57" s="327"/>
      <c r="HY57" s="327"/>
      <c r="HZ57" s="327"/>
      <c r="IA57" s="327"/>
      <c r="IB57" s="327"/>
      <c r="IC57" s="327"/>
      <c r="ID57" s="327"/>
      <c r="IE57" s="327"/>
      <c r="IF57" s="327"/>
      <c r="IG57" s="327"/>
      <c r="IH57" s="327"/>
      <c r="II57" s="327"/>
      <c r="IJ57" s="327"/>
      <c r="IK57" s="327"/>
      <c r="IL57" s="327"/>
      <c r="IM57" s="327"/>
      <c r="IN57" s="327"/>
      <c r="IO57" s="327"/>
      <c r="IP57" s="327"/>
      <c r="IQ57" s="327"/>
      <c r="IR57" s="327"/>
      <c r="IS57" s="327"/>
      <c r="IT57" s="327"/>
      <c r="IU57" s="327"/>
      <c r="IV57" s="327"/>
      <c r="IW57" s="327"/>
    </row>
    <row r="58" customFormat="false" ht="12.75" hidden="false" customHeight="false" outlineLevel="0" collapsed="false">
      <c r="A58" s="313"/>
      <c r="B58" s="314" t="s">
        <v>355</v>
      </c>
      <c r="C58" s="314"/>
      <c r="D58" s="314"/>
      <c r="E58" s="325" t="n">
        <f aca="false">Trapped!F55</f>
        <v>0</v>
      </c>
      <c r="F58" s="325" t="n">
        <f aca="false">Trapped!G55</f>
        <v>0</v>
      </c>
      <c r="G58" s="325" t="n">
        <f aca="false">Trapped!H55</f>
        <v>0</v>
      </c>
      <c r="H58" s="325" t="n">
        <f aca="false">Trapped!I55</f>
        <v>0</v>
      </c>
      <c r="I58" s="325" t="n">
        <f aca="false">Trapped!J55</f>
        <v>0</v>
      </c>
      <c r="J58" s="325" t="n">
        <f aca="false">Trapped!K55</f>
        <v>0</v>
      </c>
      <c r="K58" s="325" t="n">
        <f aca="false">Trapped!L55</f>
        <v>0</v>
      </c>
      <c r="L58" s="325" t="n">
        <f aca="false">Trapped!M55</f>
        <v>0</v>
      </c>
      <c r="M58" s="325" t="n">
        <f aca="false">Trapped!N55</f>
        <v>47.9415472258764</v>
      </c>
      <c r="N58" s="325" t="n">
        <f aca="false">Trapped!O55</f>
        <v>92.9432641307961</v>
      </c>
      <c r="O58" s="325" t="n">
        <f aca="false">Trapped!P55</f>
        <v>6.64409731116911</v>
      </c>
      <c r="P58" s="325" t="n">
        <f aca="false">Trapped!Q55</f>
        <v>112.350395862494</v>
      </c>
      <c r="Q58" s="325" t="n">
        <f aca="false">Trapped!R55</f>
        <v>32.0061773915372</v>
      </c>
      <c r="R58" s="325" t="n">
        <f aca="false">Trapped!S55</f>
        <v>138.641608171478</v>
      </c>
      <c r="S58" s="325" t="n">
        <f aca="false">Trapped!T55</f>
        <v>13.8833820893858</v>
      </c>
      <c r="T58" s="325" t="n">
        <f aca="false">Trapped!U55</f>
        <v>-13.8833820893858</v>
      </c>
      <c r="U58" s="325" t="n">
        <f aca="false">Trapped!V55</f>
        <v>13.8833820893858</v>
      </c>
      <c r="V58" s="325" t="n">
        <f aca="false">Trapped!W55</f>
        <v>-13.8833820893858</v>
      </c>
      <c r="W58" s="325" t="n">
        <f aca="false">Trapped!X55</f>
        <v>-430.527090093351</v>
      </c>
      <c r="X58" s="325" t="n">
        <f aca="false">Trapped!Y55</f>
        <v>0</v>
      </c>
      <c r="Y58" s="325" t="n">
        <f aca="false">Trapped!Z55</f>
        <v>0</v>
      </c>
      <c r="Z58" s="326" t="n">
        <f aca="false">SUM(E58:Y58)</f>
        <v>0</v>
      </c>
      <c r="AA58" s="328"/>
      <c r="AB58" s="136" t="n">
        <f aca="false">AB57+1</f>
        <v>52</v>
      </c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  <c r="CC58" s="328"/>
      <c r="CD58" s="328"/>
      <c r="CE58" s="328"/>
      <c r="CF58" s="328"/>
      <c r="CG58" s="328"/>
      <c r="CH58" s="328"/>
      <c r="CI58" s="328"/>
      <c r="CJ58" s="328"/>
      <c r="CK58" s="328"/>
      <c r="CL58" s="328"/>
      <c r="CM58" s="328"/>
      <c r="CN58" s="328"/>
      <c r="CO58" s="328"/>
      <c r="CP58" s="328"/>
      <c r="CQ58" s="328"/>
      <c r="CR58" s="328"/>
      <c r="CS58" s="328"/>
      <c r="CT58" s="328"/>
      <c r="CU58" s="328"/>
      <c r="CV58" s="328"/>
      <c r="CW58" s="328"/>
      <c r="CX58" s="328"/>
      <c r="CY58" s="328"/>
      <c r="CZ58" s="328"/>
      <c r="DA58" s="328"/>
      <c r="DB58" s="328"/>
      <c r="DC58" s="328"/>
      <c r="DD58" s="328"/>
      <c r="DE58" s="328"/>
      <c r="DF58" s="328"/>
      <c r="DG58" s="328"/>
      <c r="DH58" s="328"/>
      <c r="DI58" s="328"/>
      <c r="DJ58" s="328"/>
      <c r="DK58" s="328"/>
      <c r="DL58" s="328"/>
      <c r="DM58" s="328"/>
      <c r="DN58" s="328"/>
      <c r="DO58" s="328"/>
      <c r="DP58" s="328"/>
      <c r="DQ58" s="328"/>
      <c r="DR58" s="328"/>
      <c r="DS58" s="328"/>
      <c r="DT58" s="328"/>
      <c r="DU58" s="328"/>
      <c r="DV58" s="328"/>
      <c r="DW58" s="328"/>
      <c r="DX58" s="328"/>
      <c r="DY58" s="328"/>
      <c r="DZ58" s="328"/>
      <c r="EA58" s="328"/>
      <c r="EB58" s="328"/>
      <c r="EC58" s="328"/>
      <c r="ED58" s="328"/>
      <c r="EE58" s="328"/>
      <c r="EF58" s="328"/>
      <c r="EG58" s="328"/>
      <c r="EH58" s="328"/>
      <c r="EI58" s="328"/>
      <c r="EJ58" s="328"/>
      <c r="EK58" s="328"/>
      <c r="EL58" s="328"/>
      <c r="EM58" s="328"/>
      <c r="EN58" s="328"/>
      <c r="EO58" s="328"/>
      <c r="EP58" s="328"/>
      <c r="EQ58" s="328"/>
      <c r="ER58" s="328"/>
      <c r="ES58" s="328"/>
      <c r="ET58" s="328"/>
      <c r="EU58" s="328"/>
      <c r="EV58" s="328"/>
      <c r="EW58" s="328"/>
      <c r="EX58" s="328"/>
      <c r="EY58" s="328"/>
      <c r="EZ58" s="328"/>
      <c r="FA58" s="328"/>
      <c r="FB58" s="328"/>
      <c r="FC58" s="328"/>
      <c r="FD58" s="328"/>
      <c r="FE58" s="328"/>
      <c r="FF58" s="328"/>
      <c r="FG58" s="328"/>
      <c r="FH58" s="328"/>
      <c r="FI58" s="328"/>
      <c r="FJ58" s="328"/>
      <c r="FK58" s="328"/>
      <c r="FL58" s="328"/>
      <c r="FM58" s="328"/>
      <c r="FN58" s="328"/>
      <c r="FO58" s="328"/>
      <c r="FP58" s="328"/>
      <c r="FQ58" s="328"/>
      <c r="FR58" s="328"/>
      <c r="FS58" s="328"/>
      <c r="FT58" s="328"/>
      <c r="FU58" s="328"/>
      <c r="FV58" s="328"/>
      <c r="FW58" s="328"/>
      <c r="FX58" s="328"/>
      <c r="FY58" s="328"/>
      <c r="FZ58" s="328"/>
      <c r="GA58" s="328"/>
      <c r="GB58" s="328"/>
      <c r="GC58" s="328"/>
      <c r="GD58" s="328"/>
      <c r="GE58" s="328"/>
      <c r="GF58" s="328"/>
      <c r="GG58" s="328"/>
      <c r="GH58" s="328"/>
      <c r="GI58" s="328"/>
      <c r="GJ58" s="328"/>
      <c r="GK58" s="328"/>
      <c r="GL58" s="328"/>
      <c r="GM58" s="328"/>
      <c r="GN58" s="328"/>
      <c r="GO58" s="328"/>
      <c r="GP58" s="328"/>
      <c r="GQ58" s="328"/>
      <c r="GR58" s="328"/>
      <c r="GS58" s="328"/>
      <c r="GT58" s="328"/>
      <c r="GU58" s="328"/>
      <c r="GV58" s="328"/>
      <c r="GW58" s="328"/>
      <c r="GX58" s="328"/>
      <c r="GY58" s="328"/>
      <c r="GZ58" s="328"/>
      <c r="HA58" s="328"/>
      <c r="HB58" s="328"/>
      <c r="HC58" s="328"/>
      <c r="HD58" s="328"/>
      <c r="HE58" s="328"/>
      <c r="HF58" s="328"/>
      <c r="HG58" s="328"/>
      <c r="HH58" s="328"/>
      <c r="HI58" s="328"/>
      <c r="HJ58" s="328"/>
      <c r="HK58" s="328"/>
      <c r="HL58" s="328"/>
      <c r="HM58" s="328"/>
      <c r="HN58" s="328"/>
      <c r="HO58" s="328"/>
      <c r="HP58" s="328"/>
      <c r="HQ58" s="328"/>
      <c r="HR58" s="328"/>
      <c r="HS58" s="328"/>
      <c r="HT58" s="328"/>
      <c r="HU58" s="328"/>
      <c r="HV58" s="328"/>
      <c r="HW58" s="328"/>
      <c r="HX58" s="328"/>
      <c r="HY58" s="328"/>
      <c r="HZ58" s="328"/>
      <c r="IA58" s="328"/>
      <c r="IB58" s="328"/>
      <c r="IC58" s="328"/>
      <c r="ID58" s="328"/>
      <c r="IE58" s="328"/>
      <c r="IF58" s="328"/>
      <c r="IG58" s="328"/>
      <c r="IH58" s="328"/>
      <c r="II58" s="328"/>
      <c r="IJ58" s="328"/>
      <c r="IK58" s="328"/>
      <c r="IL58" s="328"/>
      <c r="IM58" s="328"/>
      <c r="IN58" s="328"/>
      <c r="IO58" s="328"/>
      <c r="IP58" s="328"/>
      <c r="IQ58" s="328"/>
      <c r="IR58" s="328"/>
      <c r="IS58" s="328"/>
      <c r="IT58" s="328"/>
      <c r="IU58" s="328"/>
      <c r="IV58" s="328"/>
      <c r="IW58" s="328"/>
    </row>
    <row r="59" customFormat="false" ht="12.75" hidden="false" customHeight="false" outlineLevel="0" collapsed="false">
      <c r="A59" s="313"/>
      <c r="B59" s="314"/>
      <c r="C59" s="314"/>
      <c r="D59" s="314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7"/>
      <c r="AA59" s="332"/>
      <c r="AB59" s="136" t="n">
        <f aca="false">AB58+1</f>
        <v>53</v>
      </c>
      <c r="AC59" s="332"/>
      <c r="AD59" s="332"/>
      <c r="AE59" s="332"/>
      <c r="AF59" s="332"/>
      <c r="AG59" s="332"/>
      <c r="AH59" s="332"/>
      <c r="AI59" s="332"/>
      <c r="AJ59" s="332"/>
      <c r="AK59" s="332"/>
      <c r="AL59" s="332"/>
      <c r="AM59" s="332"/>
      <c r="AN59" s="332"/>
      <c r="AO59" s="332"/>
      <c r="AP59" s="332"/>
      <c r="AQ59" s="332"/>
      <c r="AR59" s="332"/>
      <c r="AS59" s="332"/>
      <c r="AT59" s="332"/>
      <c r="AU59" s="332"/>
      <c r="AV59" s="332"/>
      <c r="AW59" s="332"/>
      <c r="AX59" s="332"/>
      <c r="AY59" s="332"/>
      <c r="AZ59" s="332"/>
      <c r="BA59" s="332"/>
      <c r="BB59" s="332"/>
      <c r="BC59" s="332"/>
      <c r="BD59" s="332"/>
      <c r="BE59" s="332"/>
      <c r="BF59" s="332"/>
      <c r="BG59" s="332"/>
      <c r="BH59" s="332"/>
      <c r="BI59" s="332"/>
      <c r="BJ59" s="332"/>
      <c r="BK59" s="332"/>
      <c r="BL59" s="332"/>
      <c r="BM59" s="332"/>
      <c r="BN59" s="332"/>
      <c r="BO59" s="332"/>
      <c r="BP59" s="332"/>
      <c r="BQ59" s="332"/>
      <c r="BR59" s="332"/>
      <c r="BS59" s="332"/>
      <c r="BT59" s="332"/>
      <c r="BU59" s="332"/>
      <c r="BV59" s="332"/>
      <c r="BW59" s="332"/>
      <c r="BX59" s="332"/>
      <c r="BY59" s="332"/>
      <c r="BZ59" s="332"/>
      <c r="CA59" s="332"/>
      <c r="CB59" s="332"/>
      <c r="CC59" s="332"/>
      <c r="CD59" s="332"/>
      <c r="CE59" s="332"/>
      <c r="CF59" s="332"/>
      <c r="CG59" s="332"/>
      <c r="CH59" s="332"/>
      <c r="CI59" s="332"/>
      <c r="CJ59" s="332"/>
      <c r="CK59" s="332"/>
      <c r="CL59" s="332"/>
      <c r="CM59" s="332"/>
      <c r="CN59" s="332"/>
      <c r="CO59" s="332"/>
      <c r="CP59" s="332"/>
      <c r="CQ59" s="332"/>
      <c r="CR59" s="332"/>
      <c r="CS59" s="332"/>
      <c r="CT59" s="332"/>
      <c r="CU59" s="332"/>
      <c r="CV59" s="332"/>
      <c r="CW59" s="332"/>
      <c r="CX59" s="332"/>
      <c r="CY59" s="332"/>
      <c r="CZ59" s="332"/>
      <c r="DA59" s="332"/>
      <c r="DB59" s="332"/>
      <c r="DC59" s="332"/>
      <c r="DD59" s="332"/>
      <c r="DE59" s="332"/>
      <c r="DF59" s="332"/>
      <c r="DG59" s="332"/>
      <c r="DH59" s="332"/>
      <c r="DI59" s="332"/>
      <c r="DJ59" s="332"/>
      <c r="DK59" s="332"/>
      <c r="DL59" s="332"/>
      <c r="DM59" s="332"/>
      <c r="DN59" s="332"/>
      <c r="DO59" s="332"/>
      <c r="DP59" s="332"/>
      <c r="DQ59" s="332"/>
      <c r="DR59" s="332"/>
      <c r="DS59" s="332"/>
      <c r="DT59" s="332"/>
      <c r="DU59" s="332"/>
      <c r="DV59" s="332"/>
      <c r="DW59" s="332"/>
      <c r="DX59" s="332"/>
      <c r="DY59" s="332"/>
      <c r="DZ59" s="332"/>
      <c r="EA59" s="332"/>
      <c r="EB59" s="332"/>
      <c r="EC59" s="332"/>
      <c r="ED59" s="332"/>
      <c r="EE59" s="332"/>
      <c r="EF59" s="332"/>
      <c r="EG59" s="332"/>
      <c r="EH59" s="332"/>
      <c r="EI59" s="332"/>
      <c r="EJ59" s="332"/>
      <c r="EK59" s="332"/>
      <c r="EL59" s="332"/>
      <c r="EM59" s="332"/>
      <c r="EN59" s="332"/>
      <c r="EO59" s="332"/>
      <c r="EP59" s="332"/>
      <c r="EQ59" s="332"/>
      <c r="ER59" s="332"/>
      <c r="ES59" s="332"/>
      <c r="ET59" s="332"/>
      <c r="EU59" s="332"/>
      <c r="EV59" s="332"/>
      <c r="EW59" s="332"/>
      <c r="EX59" s="332"/>
      <c r="EY59" s="332"/>
      <c r="EZ59" s="332"/>
      <c r="FA59" s="332"/>
      <c r="FB59" s="332"/>
      <c r="FC59" s="332"/>
      <c r="FD59" s="332"/>
      <c r="FE59" s="332"/>
      <c r="FF59" s="332"/>
      <c r="FG59" s="332"/>
      <c r="FH59" s="332"/>
      <c r="FI59" s="332"/>
      <c r="FJ59" s="332"/>
      <c r="FK59" s="332"/>
      <c r="FL59" s="332"/>
      <c r="FM59" s="332"/>
      <c r="FN59" s="332"/>
      <c r="FO59" s="332"/>
      <c r="FP59" s="332"/>
      <c r="FQ59" s="332"/>
      <c r="FR59" s="332"/>
      <c r="FS59" s="332"/>
      <c r="FT59" s="332"/>
      <c r="FU59" s="332"/>
      <c r="FV59" s="332"/>
      <c r="FW59" s="332"/>
      <c r="FX59" s="332"/>
      <c r="FY59" s="332"/>
      <c r="FZ59" s="332"/>
      <c r="GA59" s="332"/>
      <c r="GB59" s="332"/>
      <c r="GC59" s="332"/>
      <c r="GD59" s="332"/>
      <c r="GE59" s="332"/>
      <c r="GF59" s="332"/>
      <c r="GG59" s="332"/>
      <c r="GH59" s="332"/>
      <c r="GI59" s="332"/>
      <c r="GJ59" s="332"/>
      <c r="GK59" s="332"/>
      <c r="GL59" s="332"/>
      <c r="GM59" s="332"/>
      <c r="GN59" s="332"/>
      <c r="GO59" s="332"/>
      <c r="GP59" s="332"/>
      <c r="GQ59" s="332"/>
      <c r="GR59" s="332"/>
      <c r="GS59" s="332"/>
      <c r="GT59" s="332"/>
      <c r="GU59" s="332"/>
      <c r="GV59" s="332"/>
      <c r="GW59" s="332"/>
      <c r="GX59" s="332"/>
      <c r="GY59" s="332"/>
      <c r="GZ59" s="332"/>
      <c r="HA59" s="332"/>
      <c r="HB59" s="332"/>
      <c r="HC59" s="332"/>
      <c r="HD59" s="332"/>
      <c r="HE59" s="332"/>
      <c r="HF59" s="332"/>
      <c r="HG59" s="332"/>
      <c r="HH59" s="332"/>
      <c r="HI59" s="332"/>
      <c r="HJ59" s="332"/>
      <c r="HK59" s="332"/>
      <c r="HL59" s="332"/>
      <c r="HM59" s="332"/>
      <c r="HN59" s="332"/>
      <c r="HO59" s="332"/>
      <c r="HP59" s="332"/>
      <c r="HQ59" s="332"/>
      <c r="HR59" s="332"/>
      <c r="HS59" s="332"/>
      <c r="HT59" s="332"/>
      <c r="HU59" s="332"/>
      <c r="HV59" s="332"/>
      <c r="HW59" s="332"/>
      <c r="HX59" s="332"/>
      <c r="HY59" s="332"/>
      <c r="HZ59" s="332"/>
      <c r="IA59" s="332"/>
      <c r="IB59" s="332"/>
      <c r="IC59" s="332"/>
      <c r="ID59" s="332"/>
      <c r="IE59" s="332"/>
      <c r="IF59" s="332"/>
      <c r="IG59" s="332"/>
      <c r="IH59" s="332"/>
      <c r="II59" s="332"/>
      <c r="IJ59" s="332"/>
      <c r="IK59" s="332"/>
      <c r="IL59" s="332"/>
      <c r="IM59" s="332"/>
      <c r="IN59" s="332"/>
      <c r="IO59" s="332"/>
      <c r="IP59" s="332"/>
      <c r="IQ59" s="332"/>
      <c r="IR59" s="332"/>
      <c r="IS59" s="332"/>
      <c r="IT59" s="332"/>
      <c r="IU59" s="332"/>
      <c r="IV59" s="332"/>
      <c r="IW59" s="332"/>
    </row>
    <row r="60" customFormat="false" ht="12.75" hidden="false" customHeight="false" outlineLevel="0" collapsed="false">
      <c r="A60" s="333" t="s">
        <v>356</v>
      </c>
      <c r="B60" s="334"/>
      <c r="C60" s="334"/>
      <c r="D60" s="334"/>
      <c r="E60" s="335" t="n">
        <f aca="false">SUM(E57:E58)</f>
        <v>0</v>
      </c>
      <c r="F60" s="335" t="n">
        <f aca="false">SUM(F57:F58)</f>
        <v>0</v>
      </c>
      <c r="G60" s="335" t="n">
        <f aca="false">SUM(G57:G58)</f>
        <v>-4849.95618144266</v>
      </c>
      <c r="H60" s="335" t="n">
        <f aca="false">SUM(H57:H58)</f>
        <v>-9312.2837301061</v>
      </c>
      <c r="I60" s="335" t="n">
        <f aca="false">SUM(I57:I58)</f>
        <v>-9485.89883460989</v>
      </c>
      <c r="J60" s="335" t="n">
        <f aca="false">SUM(J57:J58)</f>
        <v>-4607.39519923682</v>
      </c>
      <c r="K60" s="335" t="n">
        <f aca="false">SUM(K57:K58)</f>
        <v>-3349.54374666664</v>
      </c>
      <c r="L60" s="335" t="n">
        <f aca="false">SUM(L57:L58)</f>
        <v>-2354.1885095183</v>
      </c>
      <c r="M60" s="335" t="n">
        <f aca="false">SUM(M57:M58)</f>
        <v>-1193.49650667905</v>
      </c>
      <c r="N60" s="335" t="n">
        <f aca="false">SUM(N57:N58)</f>
        <v>237.641803319725</v>
      </c>
      <c r="O60" s="335" t="n">
        <f aca="false">SUM(O57:O58)</f>
        <v>1143.66235370568</v>
      </c>
      <c r="P60" s="335" t="n">
        <f aca="false">SUM(P57:P58)</f>
        <v>2038.98806436386</v>
      </c>
      <c r="Q60" s="335" t="n">
        <f aca="false">SUM(Q57:Q58)</f>
        <v>2936.68736566132</v>
      </c>
      <c r="R60" s="335" t="n">
        <f aca="false">SUM(R57:R58)</f>
        <v>4091.73711984062</v>
      </c>
      <c r="S60" s="335" t="n">
        <f aca="false">SUM(S57:S58)</f>
        <v>3855.22686355549</v>
      </c>
      <c r="T60" s="335" t="n">
        <f aca="false">SUM(T57:T58)</f>
        <v>5424.70751225231</v>
      </c>
      <c r="U60" s="335" t="n">
        <f aca="false">SUM(U57:U58)</f>
        <v>6251.83594556343</v>
      </c>
      <c r="V60" s="335" t="n">
        <f aca="false">SUM(V57:V58)</f>
        <v>6706.27728184809</v>
      </c>
      <c r="W60" s="335" t="n">
        <f aca="false">SUM(W57:W58)</f>
        <v>6616.35809972681</v>
      </c>
      <c r="X60" s="335" t="n">
        <f aca="false">SUM(X57:X58)</f>
        <v>7581.36886552416</v>
      </c>
      <c r="Y60" s="335" t="n">
        <f aca="false">SUM(Y57:Y58)</f>
        <v>2235.32024618146</v>
      </c>
      <c r="Z60" s="336" t="n">
        <f aca="false">SUM(E60:Y60)</f>
        <v>13967.0488132835</v>
      </c>
      <c r="AA60" s="314"/>
      <c r="AB60" s="136" t="n">
        <f aca="false">AB59+1</f>
        <v>54</v>
      </c>
      <c r="AC60" s="314"/>
      <c r="AD60" s="314"/>
      <c r="AE60" s="314"/>
      <c r="AF60" s="314"/>
      <c r="AG60" s="314"/>
      <c r="AH60" s="314"/>
      <c r="AI60" s="314"/>
      <c r="AJ60" s="314"/>
      <c r="AK60" s="314"/>
      <c r="AL60" s="314"/>
      <c r="AM60" s="314"/>
      <c r="AN60" s="314"/>
      <c r="AO60" s="314"/>
      <c r="AP60" s="314"/>
      <c r="AQ60" s="314"/>
      <c r="AR60" s="314"/>
      <c r="AS60" s="314"/>
      <c r="AT60" s="314"/>
      <c r="AU60" s="314"/>
      <c r="AV60" s="314"/>
      <c r="AW60" s="314"/>
      <c r="AX60" s="314"/>
      <c r="AY60" s="314"/>
      <c r="AZ60" s="314"/>
      <c r="BA60" s="314"/>
      <c r="BB60" s="314"/>
      <c r="BC60" s="314"/>
      <c r="BD60" s="314"/>
      <c r="BE60" s="314"/>
      <c r="BF60" s="314"/>
      <c r="BG60" s="314"/>
      <c r="BH60" s="314"/>
      <c r="BI60" s="314"/>
      <c r="BJ60" s="314"/>
      <c r="BK60" s="314"/>
      <c r="BL60" s="314"/>
      <c r="BM60" s="314"/>
      <c r="BN60" s="314"/>
      <c r="BO60" s="314"/>
      <c r="BP60" s="314"/>
      <c r="BQ60" s="314"/>
      <c r="BR60" s="314"/>
      <c r="BS60" s="314"/>
      <c r="BT60" s="314"/>
      <c r="BU60" s="314"/>
      <c r="BV60" s="314"/>
      <c r="BW60" s="314"/>
      <c r="BX60" s="314"/>
      <c r="BY60" s="314"/>
      <c r="BZ60" s="314"/>
      <c r="CA60" s="314"/>
      <c r="CB60" s="314"/>
      <c r="CC60" s="314"/>
      <c r="CD60" s="314"/>
      <c r="CE60" s="314"/>
      <c r="CF60" s="314"/>
      <c r="CG60" s="314"/>
      <c r="CH60" s="314"/>
      <c r="CI60" s="314"/>
      <c r="CJ60" s="314"/>
      <c r="CK60" s="314"/>
      <c r="CL60" s="314"/>
      <c r="CM60" s="314"/>
      <c r="CN60" s="314"/>
      <c r="CO60" s="314"/>
      <c r="CP60" s="314"/>
      <c r="CQ60" s="314"/>
      <c r="CR60" s="314"/>
      <c r="CS60" s="314"/>
      <c r="CT60" s="314"/>
      <c r="CU60" s="314"/>
      <c r="CV60" s="314"/>
      <c r="CW60" s="314"/>
      <c r="CX60" s="314"/>
      <c r="CY60" s="314"/>
      <c r="CZ60" s="314"/>
      <c r="DA60" s="314"/>
      <c r="DB60" s="314"/>
      <c r="DC60" s="314"/>
      <c r="DD60" s="314"/>
      <c r="DE60" s="314"/>
      <c r="DF60" s="314"/>
      <c r="DG60" s="314"/>
      <c r="DH60" s="314"/>
      <c r="DI60" s="314"/>
      <c r="DJ60" s="314"/>
      <c r="DK60" s="314"/>
      <c r="DL60" s="314"/>
      <c r="DM60" s="314"/>
      <c r="DN60" s="314"/>
      <c r="DO60" s="314"/>
      <c r="DP60" s="314"/>
      <c r="DQ60" s="314"/>
      <c r="DR60" s="314"/>
      <c r="DS60" s="314"/>
      <c r="DT60" s="314"/>
      <c r="DU60" s="314"/>
      <c r="DV60" s="314"/>
      <c r="DW60" s="314"/>
      <c r="DX60" s="314"/>
      <c r="DY60" s="314"/>
      <c r="DZ60" s="314"/>
      <c r="EA60" s="314"/>
      <c r="EB60" s="314"/>
      <c r="EC60" s="314"/>
      <c r="ED60" s="314"/>
      <c r="EE60" s="314"/>
      <c r="EF60" s="314"/>
      <c r="EG60" s="314"/>
      <c r="EH60" s="314"/>
      <c r="EI60" s="314"/>
      <c r="EJ60" s="314"/>
      <c r="EK60" s="314"/>
      <c r="EL60" s="314"/>
      <c r="EM60" s="314"/>
      <c r="EN60" s="314"/>
      <c r="EO60" s="314"/>
      <c r="EP60" s="314"/>
      <c r="EQ60" s="314"/>
      <c r="ER60" s="314"/>
      <c r="ES60" s="314"/>
      <c r="ET60" s="314"/>
      <c r="EU60" s="314"/>
      <c r="EV60" s="314"/>
      <c r="EW60" s="314"/>
      <c r="EX60" s="314"/>
      <c r="EY60" s="314"/>
      <c r="EZ60" s="314"/>
      <c r="FA60" s="314"/>
      <c r="FB60" s="314"/>
      <c r="FC60" s="314"/>
      <c r="FD60" s="314"/>
      <c r="FE60" s="314"/>
      <c r="FF60" s="314"/>
      <c r="FG60" s="314"/>
      <c r="FH60" s="314"/>
      <c r="FI60" s="314"/>
      <c r="FJ60" s="314"/>
      <c r="FK60" s="314"/>
      <c r="FL60" s="314"/>
      <c r="FM60" s="314"/>
      <c r="FN60" s="314"/>
      <c r="FO60" s="314"/>
      <c r="FP60" s="314"/>
      <c r="FQ60" s="314"/>
      <c r="FR60" s="314"/>
      <c r="FS60" s="314"/>
      <c r="FT60" s="314"/>
      <c r="FU60" s="314"/>
      <c r="FV60" s="314"/>
      <c r="FW60" s="314"/>
      <c r="FX60" s="314"/>
      <c r="FY60" s="314"/>
      <c r="FZ60" s="314"/>
      <c r="GA60" s="314"/>
      <c r="GB60" s="314"/>
      <c r="GC60" s="314"/>
      <c r="GD60" s="314"/>
      <c r="GE60" s="314"/>
      <c r="GF60" s="314"/>
      <c r="GG60" s="314"/>
      <c r="GH60" s="314"/>
      <c r="GI60" s="314"/>
      <c r="GJ60" s="314"/>
      <c r="GK60" s="314"/>
      <c r="GL60" s="314"/>
      <c r="GM60" s="314"/>
      <c r="GN60" s="314"/>
      <c r="GO60" s="314"/>
      <c r="GP60" s="314"/>
      <c r="GQ60" s="314"/>
      <c r="GR60" s="314"/>
      <c r="GS60" s="314"/>
      <c r="GT60" s="314"/>
      <c r="GU60" s="314"/>
      <c r="GV60" s="314"/>
      <c r="GW60" s="314"/>
      <c r="GX60" s="314"/>
      <c r="GY60" s="314"/>
      <c r="GZ60" s="314"/>
      <c r="HA60" s="314"/>
      <c r="HB60" s="314"/>
      <c r="HC60" s="314"/>
      <c r="HD60" s="314"/>
      <c r="HE60" s="314"/>
      <c r="HF60" s="314"/>
      <c r="HG60" s="314"/>
      <c r="HH60" s="314"/>
      <c r="HI60" s="314"/>
      <c r="HJ60" s="314"/>
      <c r="HK60" s="314"/>
      <c r="HL60" s="314"/>
      <c r="HM60" s="314"/>
      <c r="HN60" s="314"/>
      <c r="HO60" s="314"/>
      <c r="HP60" s="314"/>
      <c r="HQ60" s="314"/>
      <c r="HR60" s="314"/>
      <c r="HS60" s="314"/>
      <c r="HT60" s="314"/>
      <c r="HU60" s="314"/>
      <c r="HV60" s="314"/>
      <c r="HW60" s="314"/>
      <c r="HX60" s="314"/>
      <c r="HY60" s="314"/>
      <c r="HZ60" s="314"/>
      <c r="IA60" s="314"/>
      <c r="IB60" s="314"/>
      <c r="IC60" s="314"/>
      <c r="ID60" s="314"/>
      <c r="IE60" s="314"/>
      <c r="IF60" s="314"/>
      <c r="IG60" s="314"/>
      <c r="IH60" s="314"/>
      <c r="II60" s="314"/>
      <c r="IJ60" s="314"/>
      <c r="IK60" s="314"/>
      <c r="IL60" s="314"/>
      <c r="IM60" s="314"/>
      <c r="IN60" s="314"/>
      <c r="IO60" s="314"/>
      <c r="IP60" s="314"/>
      <c r="IQ60" s="314"/>
      <c r="IR60" s="314"/>
      <c r="IS60" s="314"/>
      <c r="IT60" s="314"/>
      <c r="IU60" s="314"/>
      <c r="IV60" s="314"/>
      <c r="IW60" s="314"/>
    </row>
    <row r="61" customFormat="false" ht="12.75" hidden="false" customHeight="false" outlineLevel="0" collapsed="false">
      <c r="A61" s="337"/>
      <c r="B61" s="338"/>
      <c r="C61" s="338"/>
      <c r="D61" s="339"/>
      <c r="E61" s="340"/>
      <c r="F61" s="340"/>
      <c r="G61" s="340"/>
      <c r="H61" s="340"/>
      <c r="I61" s="340"/>
      <c r="J61" s="340"/>
      <c r="K61" s="340"/>
      <c r="L61" s="340"/>
      <c r="M61" s="340"/>
      <c r="N61" s="340"/>
      <c r="O61" s="340"/>
      <c r="P61" s="340"/>
      <c r="Q61" s="340"/>
      <c r="R61" s="340"/>
      <c r="S61" s="340"/>
      <c r="T61" s="340"/>
      <c r="U61" s="340"/>
      <c r="V61" s="340"/>
      <c r="W61" s="340"/>
      <c r="X61" s="340"/>
      <c r="Y61" s="340"/>
      <c r="Z61" s="341"/>
      <c r="AA61" s="314"/>
      <c r="AB61" s="136" t="n">
        <f aca="false">AB60+1</f>
        <v>55</v>
      </c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/>
      <c r="AR61" s="314"/>
      <c r="AS61" s="314"/>
      <c r="AT61" s="314"/>
      <c r="AU61" s="314"/>
      <c r="AV61" s="314"/>
      <c r="AW61" s="314"/>
      <c r="AX61" s="314"/>
      <c r="AY61" s="314"/>
      <c r="AZ61" s="31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14"/>
      <c r="BL61" s="314"/>
      <c r="BM61" s="314"/>
      <c r="BN61" s="314"/>
      <c r="BO61" s="314"/>
      <c r="BP61" s="314"/>
      <c r="BQ61" s="314"/>
      <c r="BR61" s="314"/>
      <c r="BS61" s="314"/>
      <c r="BT61" s="314"/>
      <c r="BU61" s="314"/>
      <c r="BV61" s="314"/>
      <c r="BW61" s="314"/>
      <c r="BX61" s="314"/>
      <c r="BY61" s="314"/>
      <c r="BZ61" s="314"/>
      <c r="CA61" s="314"/>
      <c r="CB61" s="314"/>
      <c r="CC61" s="314"/>
      <c r="CD61" s="314"/>
      <c r="CE61" s="314"/>
      <c r="CF61" s="314"/>
      <c r="CG61" s="314"/>
      <c r="CH61" s="314"/>
      <c r="CI61" s="314"/>
      <c r="CJ61" s="314"/>
      <c r="CK61" s="314"/>
      <c r="CL61" s="314"/>
      <c r="CM61" s="314"/>
      <c r="CN61" s="314"/>
      <c r="CO61" s="314"/>
      <c r="CP61" s="314"/>
      <c r="CQ61" s="314"/>
      <c r="CR61" s="314"/>
      <c r="CS61" s="314"/>
      <c r="CT61" s="314"/>
      <c r="CU61" s="314"/>
      <c r="CV61" s="314"/>
      <c r="CW61" s="314"/>
      <c r="CX61" s="314"/>
      <c r="CY61" s="314"/>
      <c r="CZ61" s="314"/>
      <c r="DA61" s="314"/>
      <c r="DB61" s="314"/>
      <c r="DC61" s="314"/>
      <c r="DD61" s="314"/>
      <c r="DE61" s="314"/>
      <c r="DF61" s="314"/>
      <c r="DG61" s="314"/>
      <c r="DH61" s="314"/>
      <c r="DI61" s="314"/>
      <c r="DJ61" s="314"/>
      <c r="DK61" s="314"/>
      <c r="DL61" s="314"/>
      <c r="DM61" s="314"/>
      <c r="DN61" s="314"/>
      <c r="DO61" s="314"/>
      <c r="DP61" s="314"/>
      <c r="DQ61" s="314"/>
      <c r="DR61" s="314"/>
      <c r="DS61" s="314"/>
      <c r="DT61" s="314"/>
      <c r="DU61" s="314"/>
      <c r="DV61" s="314"/>
      <c r="DW61" s="314"/>
      <c r="DX61" s="314"/>
      <c r="DY61" s="314"/>
      <c r="DZ61" s="314"/>
      <c r="EA61" s="314"/>
      <c r="EB61" s="314"/>
      <c r="EC61" s="314"/>
      <c r="ED61" s="314"/>
      <c r="EE61" s="314"/>
      <c r="EF61" s="314"/>
      <c r="EG61" s="314"/>
      <c r="EH61" s="314"/>
      <c r="EI61" s="314"/>
      <c r="EJ61" s="314"/>
      <c r="EK61" s="314"/>
      <c r="EL61" s="314"/>
      <c r="EM61" s="314"/>
      <c r="EN61" s="314"/>
      <c r="EO61" s="314"/>
      <c r="EP61" s="314"/>
      <c r="EQ61" s="314"/>
      <c r="ER61" s="314"/>
      <c r="ES61" s="314"/>
      <c r="ET61" s="314"/>
      <c r="EU61" s="314"/>
      <c r="EV61" s="314"/>
      <c r="EW61" s="314"/>
      <c r="EX61" s="314"/>
      <c r="EY61" s="314"/>
      <c r="EZ61" s="314"/>
      <c r="FA61" s="314"/>
      <c r="FB61" s="314"/>
      <c r="FC61" s="314"/>
      <c r="FD61" s="314"/>
      <c r="FE61" s="314"/>
      <c r="FF61" s="314"/>
      <c r="FG61" s="314"/>
      <c r="FH61" s="314"/>
      <c r="FI61" s="314"/>
      <c r="FJ61" s="314"/>
      <c r="FK61" s="314"/>
      <c r="FL61" s="314"/>
      <c r="FM61" s="314"/>
      <c r="FN61" s="314"/>
      <c r="FO61" s="314"/>
      <c r="FP61" s="314"/>
      <c r="FQ61" s="314"/>
      <c r="FR61" s="314"/>
      <c r="FS61" s="314"/>
      <c r="FT61" s="314"/>
      <c r="FU61" s="314"/>
      <c r="FV61" s="314"/>
      <c r="FW61" s="314"/>
      <c r="FX61" s="314"/>
      <c r="FY61" s="314"/>
      <c r="FZ61" s="314"/>
      <c r="GA61" s="314"/>
      <c r="GB61" s="314"/>
      <c r="GC61" s="314"/>
      <c r="GD61" s="314"/>
      <c r="GE61" s="314"/>
      <c r="GF61" s="314"/>
      <c r="GG61" s="314"/>
      <c r="GH61" s="314"/>
      <c r="GI61" s="314"/>
      <c r="GJ61" s="314"/>
      <c r="GK61" s="314"/>
      <c r="GL61" s="314"/>
      <c r="GM61" s="314"/>
      <c r="GN61" s="314"/>
      <c r="GO61" s="314"/>
      <c r="GP61" s="314"/>
      <c r="GQ61" s="314"/>
      <c r="GR61" s="314"/>
      <c r="GS61" s="314"/>
      <c r="GT61" s="314"/>
      <c r="GU61" s="314"/>
      <c r="GV61" s="314"/>
      <c r="GW61" s="314"/>
      <c r="GX61" s="314"/>
      <c r="GY61" s="314"/>
      <c r="GZ61" s="314"/>
      <c r="HA61" s="314"/>
      <c r="HB61" s="314"/>
      <c r="HC61" s="314"/>
      <c r="HD61" s="314"/>
      <c r="HE61" s="314"/>
      <c r="HF61" s="314"/>
      <c r="HG61" s="314"/>
      <c r="HH61" s="314"/>
      <c r="HI61" s="314"/>
      <c r="HJ61" s="314"/>
      <c r="HK61" s="314"/>
      <c r="HL61" s="314"/>
      <c r="HM61" s="314"/>
      <c r="HN61" s="314"/>
      <c r="HO61" s="314"/>
      <c r="HP61" s="314"/>
      <c r="HQ61" s="314"/>
      <c r="HR61" s="314"/>
      <c r="HS61" s="314"/>
      <c r="HT61" s="314"/>
      <c r="HU61" s="314"/>
      <c r="HV61" s="314"/>
      <c r="HW61" s="314"/>
      <c r="HX61" s="314"/>
      <c r="HY61" s="314"/>
      <c r="HZ61" s="314"/>
      <c r="IA61" s="314"/>
      <c r="IB61" s="314"/>
      <c r="IC61" s="314"/>
      <c r="ID61" s="314"/>
      <c r="IE61" s="314"/>
      <c r="IF61" s="314"/>
      <c r="IG61" s="314"/>
      <c r="IH61" s="314"/>
      <c r="II61" s="314"/>
      <c r="IJ61" s="314"/>
      <c r="IK61" s="314"/>
      <c r="IL61" s="314"/>
      <c r="IM61" s="314"/>
      <c r="IN61" s="314"/>
      <c r="IO61" s="314"/>
      <c r="IP61" s="314"/>
      <c r="IQ61" s="314"/>
      <c r="IR61" s="314"/>
      <c r="IS61" s="314"/>
      <c r="IT61" s="314"/>
      <c r="IU61" s="314"/>
      <c r="IV61" s="314"/>
      <c r="IW61" s="314"/>
    </row>
    <row r="62" customFormat="false" ht="12.75" hidden="false" customHeight="false" outlineLevel="0" collapsed="false">
      <c r="A62" s="342"/>
      <c r="B62" s="343" t="s">
        <v>357</v>
      </c>
      <c r="C62" s="314"/>
      <c r="D62" s="314"/>
      <c r="E62" s="316" t="n">
        <f aca="false">-E44</f>
        <v>0</v>
      </c>
      <c r="F62" s="316" t="n">
        <f aca="false">-F44</f>
        <v>0</v>
      </c>
      <c r="G62" s="316" t="n">
        <f aca="false">-G44</f>
        <v>5267.16686015385</v>
      </c>
      <c r="H62" s="316" t="n">
        <f aca="false">-H44</f>
        <v>6320.60023218462</v>
      </c>
      <c r="I62" s="316" t="n">
        <f aca="false">-I44</f>
        <v>6320.60023218462</v>
      </c>
      <c r="J62" s="316" t="n">
        <f aca="false">-J44</f>
        <v>6320.60023218462</v>
      </c>
      <c r="K62" s="316" t="n">
        <f aca="false">-K44</f>
        <v>6320.60023218462</v>
      </c>
      <c r="L62" s="316" t="n">
        <f aca="false">-L44</f>
        <v>6320.60023218462</v>
      </c>
      <c r="M62" s="316" t="n">
        <f aca="false">-M44</f>
        <v>6320.60023218462</v>
      </c>
      <c r="N62" s="316" t="n">
        <f aca="false">-N44</f>
        <v>6320.60023218462</v>
      </c>
      <c r="O62" s="316" t="n">
        <f aca="false">-O44</f>
        <v>6320.60023218462</v>
      </c>
      <c r="P62" s="316" t="n">
        <f aca="false">-P44</f>
        <v>6320.60023218462</v>
      </c>
      <c r="Q62" s="316" t="n">
        <f aca="false">-Q44</f>
        <v>6320.60023218462</v>
      </c>
      <c r="R62" s="316" t="n">
        <f aca="false">-R44</f>
        <v>6320.60023218462</v>
      </c>
      <c r="S62" s="316" t="n">
        <f aca="false">-S44</f>
        <v>6320.60023218462</v>
      </c>
      <c r="T62" s="316" t="n">
        <f aca="false">-T44</f>
        <v>6320.60023218462</v>
      </c>
      <c r="U62" s="316" t="n">
        <f aca="false">-U44</f>
        <v>6320.60023218462</v>
      </c>
      <c r="V62" s="316" t="n">
        <f aca="false">-V44</f>
        <v>6320.60023218462</v>
      </c>
      <c r="W62" s="316" t="n">
        <f aca="false">-W44</f>
        <v>6320.60023218462</v>
      </c>
      <c r="X62" s="316" t="n">
        <f aca="false">-X44</f>
        <v>6320.60023218462</v>
      </c>
      <c r="Y62" s="316" t="n">
        <f aca="false">-Y44</f>
        <v>2106.86674406154</v>
      </c>
      <c r="Z62" s="317" t="n">
        <f aca="false">SUM(E62:Y62)</f>
        <v>114824.237551354</v>
      </c>
      <c r="AA62" s="328"/>
      <c r="AB62" s="136" t="n">
        <f aca="false">AB61+1</f>
        <v>56</v>
      </c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Q62" s="328"/>
      <c r="AR62" s="328"/>
      <c r="AS62" s="328"/>
      <c r="AT62" s="328"/>
      <c r="AU62" s="328"/>
      <c r="AV62" s="328"/>
      <c r="AW62" s="328"/>
      <c r="AX62" s="328"/>
      <c r="AY62" s="328"/>
      <c r="AZ62" s="328"/>
      <c r="BA62" s="328"/>
      <c r="BB62" s="328"/>
      <c r="BC62" s="328"/>
      <c r="BD62" s="328"/>
      <c r="BE62" s="328"/>
      <c r="BF62" s="328"/>
      <c r="BG62" s="328"/>
      <c r="BH62" s="328"/>
      <c r="BI62" s="328"/>
      <c r="BJ62" s="328"/>
      <c r="BK62" s="328"/>
      <c r="BL62" s="328"/>
      <c r="BM62" s="328"/>
      <c r="BN62" s="328"/>
      <c r="BO62" s="328"/>
      <c r="BP62" s="328"/>
      <c r="BQ62" s="328"/>
      <c r="BR62" s="328"/>
      <c r="BS62" s="328"/>
      <c r="BT62" s="328"/>
      <c r="BU62" s="328"/>
      <c r="BV62" s="328"/>
      <c r="BW62" s="328"/>
      <c r="BX62" s="328"/>
      <c r="BY62" s="328"/>
      <c r="BZ62" s="328"/>
      <c r="CA62" s="328"/>
      <c r="CB62" s="328"/>
      <c r="CC62" s="328"/>
      <c r="CD62" s="328"/>
      <c r="CE62" s="328"/>
      <c r="CF62" s="328"/>
      <c r="CG62" s="328"/>
      <c r="CH62" s="328"/>
      <c r="CI62" s="328"/>
      <c r="CJ62" s="328"/>
      <c r="CK62" s="328"/>
      <c r="CL62" s="328"/>
      <c r="CM62" s="328"/>
      <c r="CN62" s="328"/>
      <c r="CO62" s="328"/>
      <c r="CP62" s="328"/>
      <c r="CQ62" s="328"/>
      <c r="CR62" s="328"/>
      <c r="CS62" s="328"/>
      <c r="CT62" s="328"/>
      <c r="CU62" s="328"/>
      <c r="CV62" s="328"/>
      <c r="CW62" s="328"/>
      <c r="CX62" s="328"/>
      <c r="CY62" s="328"/>
      <c r="CZ62" s="328"/>
      <c r="DA62" s="328"/>
      <c r="DB62" s="328"/>
      <c r="DC62" s="328"/>
      <c r="DD62" s="328"/>
      <c r="DE62" s="328"/>
      <c r="DF62" s="328"/>
      <c r="DG62" s="328"/>
      <c r="DH62" s="328"/>
      <c r="DI62" s="328"/>
      <c r="DJ62" s="328"/>
      <c r="DK62" s="328"/>
      <c r="DL62" s="328"/>
      <c r="DM62" s="328"/>
      <c r="DN62" s="328"/>
      <c r="DO62" s="328"/>
      <c r="DP62" s="328"/>
      <c r="DQ62" s="328"/>
      <c r="DR62" s="328"/>
      <c r="DS62" s="328"/>
      <c r="DT62" s="328"/>
      <c r="DU62" s="328"/>
      <c r="DV62" s="328"/>
      <c r="DW62" s="328"/>
      <c r="DX62" s="328"/>
      <c r="DY62" s="328"/>
      <c r="DZ62" s="328"/>
      <c r="EA62" s="328"/>
      <c r="EB62" s="328"/>
      <c r="EC62" s="328"/>
      <c r="ED62" s="328"/>
      <c r="EE62" s="328"/>
      <c r="EF62" s="328"/>
      <c r="EG62" s="328"/>
      <c r="EH62" s="328"/>
      <c r="EI62" s="328"/>
      <c r="EJ62" s="328"/>
      <c r="EK62" s="328"/>
      <c r="EL62" s="328"/>
      <c r="EM62" s="328"/>
      <c r="EN62" s="328"/>
      <c r="EO62" s="328"/>
      <c r="EP62" s="328"/>
      <c r="EQ62" s="328"/>
      <c r="ER62" s="328"/>
      <c r="ES62" s="328"/>
      <c r="ET62" s="328"/>
      <c r="EU62" s="328"/>
      <c r="EV62" s="328"/>
      <c r="EW62" s="328"/>
      <c r="EX62" s="328"/>
      <c r="EY62" s="328"/>
      <c r="EZ62" s="328"/>
      <c r="FA62" s="328"/>
      <c r="FB62" s="328"/>
      <c r="FC62" s="328"/>
      <c r="FD62" s="328"/>
      <c r="FE62" s="328"/>
      <c r="FF62" s="328"/>
      <c r="FG62" s="328"/>
      <c r="FH62" s="328"/>
      <c r="FI62" s="328"/>
      <c r="FJ62" s="328"/>
      <c r="FK62" s="328"/>
      <c r="FL62" s="328"/>
      <c r="FM62" s="328"/>
      <c r="FN62" s="328"/>
      <c r="FO62" s="328"/>
      <c r="FP62" s="328"/>
      <c r="FQ62" s="328"/>
      <c r="FR62" s="328"/>
      <c r="FS62" s="328"/>
      <c r="FT62" s="328"/>
      <c r="FU62" s="328"/>
      <c r="FV62" s="328"/>
      <c r="FW62" s="328"/>
      <c r="FX62" s="328"/>
      <c r="FY62" s="328"/>
      <c r="FZ62" s="328"/>
      <c r="GA62" s="328"/>
      <c r="GB62" s="328"/>
      <c r="GC62" s="328"/>
      <c r="GD62" s="328"/>
      <c r="GE62" s="328"/>
      <c r="GF62" s="328"/>
      <c r="GG62" s="328"/>
      <c r="GH62" s="328"/>
      <c r="GI62" s="328"/>
      <c r="GJ62" s="328"/>
      <c r="GK62" s="328"/>
      <c r="GL62" s="328"/>
      <c r="GM62" s="328"/>
      <c r="GN62" s="328"/>
      <c r="GO62" s="328"/>
      <c r="GP62" s="328"/>
      <c r="GQ62" s="328"/>
      <c r="GR62" s="328"/>
      <c r="GS62" s="328"/>
      <c r="GT62" s="328"/>
      <c r="GU62" s="328"/>
      <c r="GV62" s="328"/>
      <c r="GW62" s="328"/>
      <c r="GX62" s="328"/>
      <c r="GY62" s="328"/>
      <c r="GZ62" s="328"/>
      <c r="HA62" s="328"/>
      <c r="HB62" s="328"/>
      <c r="HC62" s="328"/>
      <c r="HD62" s="328"/>
      <c r="HE62" s="328"/>
      <c r="HF62" s="328"/>
      <c r="HG62" s="328"/>
      <c r="HH62" s="328"/>
      <c r="HI62" s="328"/>
      <c r="HJ62" s="328"/>
      <c r="HK62" s="328"/>
      <c r="HL62" s="328"/>
      <c r="HM62" s="328"/>
      <c r="HN62" s="328"/>
      <c r="HO62" s="328"/>
      <c r="HP62" s="328"/>
      <c r="HQ62" s="328"/>
      <c r="HR62" s="328"/>
      <c r="HS62" s="328"/>
      <c r="HT62" s="328"/>
      <c r="HU62" s="328"/>
      <c r="HV62" s="328"/>
      <c r="HW62" s="328"/>
      <c r="HX62" s="328"/>
      <c r="HY62" s="328"/>
      <c r="HZ62" s="328"/>
      <c r="IA62" s="328"/>
      <c r="IB62" s="328"/>
      <c r="IC62" s="328"/>
      <c r="ID62" s="328"/>
      <c r="IE62" s="328"/>
      <c r="IF62" s="328"/>
      <c r="IG62" s="328"/>
      <c r="IH62" s="328"/>
      <c r="II62" s="328"/>
      <c r="IJ62" s="328"/>
      <c r="IK62" s="328"/>
      <c r="IL62" s="328"/>
      <c r="IM62" s="328"/>
      <c r="IN62" s="328"/>
      <c r="IO62" s="328"/>
      <c r="IP62" s="328"/>
      <c r="IQ62" s="328"/>
      <c r="IR62" s="328"/>
      <c r="IS62" s="328"/>
      <c r="IT62" s="328"/>
      <c r="IU62" s="328"/>
      <c r="IV62" s="328"/>
      <c r="IW62" s="328"/>
    </row>
    <row r="63" customFormat="false" ht="12.75" hidden="false" customHeight="false" outlineLevel="0" collapsed="false">
      <c r="A63" s="342"/>
      <c r="B63" s="343" t="s">
        <v>358</v>
      </c>
      <c r="C63" s="344"/>
      <c r="D63" s="345"/>
      <c r="E63" s="316" t="n">
        <f aca="false">-E49</f>
        <v>0</v>
      </c>
      <c r="F63" s="316" t="n">
        <f aca="false">-F49</f>
        <v>0</v>
      </c>
      <c r="G63" s="316" t="n">
        <f aca="false">-G49</f>
        <v>0</v>
      </c>
      <c r="H63" s="316" t="n">
        <f aca="false">-H49</f>
        <v>0</v>
      </c>
      <c r="I63" s="316" t="n">
        <f aca="false">-I49</f>
        <v>0</v>
      </c>
      <c r="J63" s="316" t="n">
        <f aca="false">-J49</f>
        <v>0</v>
      </c>
      <c r="K63" s="316" t="n">
        <f aca="false">-K49</f>
        <v>0</v>
      </c>
      <c r="L63" s="316" t="n">
        <f aca="false">-L49</f>
        <v>0</v>
      </c>
      <c r="M63" s="316" t="n">
        <f aca="false">-M49</f>
        <v>0</v>
      </c>
      <c r="N63" s="316" t="n">
        <f aca="false">-N49</f>
        <v>0</v>
      </c>
      <c r="O63" s="316" t="n">
        <f aca="false">-O49</f>
        <v>0</v>
      </c>
      <c r="P63" s="316" t="n">
        <f aca="false">-P49</f>
        <v>0</v>
      </c>
      <c r="Q63" s="316" t="n">
        <f aca="false">-Q49</f>
        <v>0</v>
      </c>
      <c r="R63" s="316" t="n">
        <f aca="false">-R49</f>
        <v>0</v>
      </c>
      <c r="S63" s="316" t="n">
        <f aca="false">-S49</f>
        <v>0</v>
      </c>
      <c r="T63" s="316" t="n">
        <f aca="false">-T49</f>
        <v>0</v>
      </c>
      <c r="U63" s="316" t="n">
        <f aca="false">-U49</f>
        <v>0</v>
      </c>
      <c r="V63" s="316" t="n">
        <f aca="false">-V49</f>
        <v>0</v>
      </c>
      <c r="W63" s="316" t="n">
        <f aca="false">-W49</f>
        <v>0</v>
      </c>
      <c r="X63" s="316" t="n">
        <f aca="false">-X49</f>
        <v>0</v>
      </c>
      <c r="Y63" s="316" t="n">
        <f aca="false">-Y49</f>
        <v>0</v>
      </c>
      <c r="Z63" s="317" t="n">
        <f aca="false">SUM(E63:Y63)</f>
        <v>0</v>
      </c>
      <c r="AA63" s="327"/>
      <c r="AB63" s="136" t="n">
        <f aca="false">AB62+1</f>
        <v>57</v>
      </c>
      <c r="AC63" s="327"/>
      <c r="AD63" s="327"/>
      <c r="AE63" s="327"/>
      <c r="AF63" s="327"/>
      <c r="AG63" s="327"/>
      <c r="AH63" s="327"/>
      <c r="AI63" s="327"/>
      <c r="AJ63" s="327"/>
      <c r="AK63" s="327"/>
      <c r="AL63" s="327"/>
      <c r="AM63" s="327"/>
      <c r="AN63" s="327"/>
      <c r="AO63" s="327"/>
      <c r="AP63" s="327"/>
      <c r="AQ63" s="327"/>
      <c r="AR63" s="327"/>
      <c r="AS63" s="327"/>
      <c r="AT63" s="327"/>
      <c r="AU63" s="327"/>
      <c r="AV63" s="327"/>
      <c r="AW63" s="327"/>
      <c r="AX63" s="327"/>
      <c r="AY63" s="327"/>
      <c r="AZ63" s="327"/>
      <c r="BA63" s="327"/>
      <c r="BB63" s="327"/>
      <c r="BC63" s="327"/>
      <c r="BD63" s="327"/>
      <c r="BE63" s="327"/>
      <c r="BF63" s="327"/>
      <c r="BG63" s="327"/>
      <c r="BH63" s="327"/>
      <c r="BI63" s="327"/>
      <c r="BJ63" s="327"/>
      <c r="BK63" s="327"/>
      <c r="BL63" s="327"/>
      <c r="BM63" s="327"/>
      <c r="BN63" s="327"/>
      <c r="BO63" s="327"/>
      <c r="BP63" s="327"/>
      <c r="BQ63" s="327"/>
      <c r="BR63" s="327"/>
      <c r="BS63" s="327"/>
      <c r="BT63" s="327"/>
      <c r="BU63" s="327"/>
      <c r="BV63" s="327"/>
      <c r="BW63" s="327"/>
      <c r="BX63" s="327"/>
      <c r="BY63" s="327"/>
      <c r="BZ63" s="327"/>
      <c r="CA63" s="327"/>
      <c r="CB63" s="327"/>
      <c r="CC63" s="327"/>
      <c r="CD63" s="327"/>
      <c r="CE63" s="327"/>
      <c r="CF63" s="327"/>
      <c r="CG63" s="327"/>
      <c r="CH63" s="327"/>
      <c r="CI63" s="327"/>
      <c r="CJ63" s="327"/>
      <c r="CK63" s="327"/>
      <c r="CL63" s="327"/>
      <c r="CM63" s="327"/>
      <c r="CN63" s="327"/>
      <c r="CO63" s="327"/>
      <c r="CP63" s="327"/>
      <c r="CQ63" s="327"/>
      <c r="CR63" s="327"/>
      <c r="CS63" s="327"/>
      <c r="CT63" s="327"/>
      <c r="CU63" s="327"/>
      <c r="CV63" s="327"/>
      <c r="CW63" s="327"/>
      <c r="CX63" s="327"/>
      <c r="CY63" s="327"/>
      <c r="CZ63" s="327"/>
      <c r="DA63" s="327"/>
      <c r="DB63" s="327"/>
      <c r="DC63" s="327"/>
      <c r="DD63" s="327"/>
      <c r="DE63" s="327"/>
      <c r="DF63" s="327"/>
      <c r="DG63" s="327"/>
      <c r="DH63" s="327"/>
      <c r="DI63" s="327"/>
      <c r="DJ63" s="327"/>
      <c r="DK63" s="327"/>
      <c r="DL63" s="327"/>
      <c r="DM63" s="327"/>
      <c r="DN63" s="327"/>
      <c r="DO63" s="327"/>
      <c r="DP63" s="327"/>
      <c r="DQ63" s="327"/>
      <c r="DR63" s="327"/>
      <c r="DS63" s="327"/>
      <c r="DT63" s="327"/>
      <c r="DU63" s="327"/>
      <c r="DV63" s="327"/>
      <c r="DW63" s="327"/>
      <c r="DX63" s="327"/>
      <c r="DY63" s="327"/>
      <c r="DZ63" s="327"/>
      <c r="EA63" s="327"/>
      <c r="EB63" s="327"/>
      <c r="EC63" s="327"/>
      <c r="ED63" s="327"/>
      <c r="EE63" s="327"/>
      <c r="EF63" s="327"/>
      <c r="EG63" s="327"/>
      <c r="EH63" s="327"/>
      <c r="EI63" s="327"/>
      <c r="EJ63" s="327"/>
      <c r="EK63" s="327"/>
      <c r="EL63" s="327"/>
      <c r="EM63" s="327"/>
      <c r="EN63" s="327"/>
      <c r="EO63" s="327"/>
      <c r="EP63" s="327"/>
      <c r="EQ63" s="327"/>
      <c r="ER63" s="327"/>
      <c r="ES63" s="327"/>
      <c r="ET63" s="327"/>
      <c r="EU63" s="327"/>
      <c r="EV63" s="327"/>
      <c r="EW63" s="327"/>
      <c r="EX63" s="327"/>
      <c r="EY63" s="327"/>
      <c r="EZ63" s="327"/>
      <c r="FA63" s="327"/>
      <c r="FB63" s="327"/>
      <c r="FC63" s="327"/>
      <c r="FD63" s="327"/>
      <c r="FE63" s="327"/>
      <c r="FF63" s="327"/>
      <c r="FG63" s="327"/>
      <c r="FH63" s="327"/>
      <c r="FI63" s="327"/>
      <c r="FJ63" s="327"/>
      <c r="FK63" s="327"/>
      <c r="FL63" s="327"/>
      <c r="FM63" s="327"/>
      <c r="FN63" s="327"/>
      <c r="FO63" s="327"/>
      <c r="FP63" s="327"/>
      <c r="FQ63" s="327"/>
      <c r="FR63" s="327"/>
      <c r="FS63" s="327"/>
      <c r="FT63" s="327"/>
      <c r="FU63" s="327"/>
      <c r="FV63" s="327"/>
      <c r="FW63" s="327"/>
      <c r="FX63" s="327"/>
      <c r="FY63" s="327"/>
      <c r="FZ63" s="327"/>
      <c r="GA63" s="327"/>
      <c r="GB63" s="327"/>
      <c r="GC63" s="327"/>
      <c r="GD63" s="327"/>
      <c r="GE63" s="327"/>
      <c r="GF63" s="327"/>
      <c r="GG63" s="327"/>
      <c r="GH63" s="327"/>
      <c r="GI63" s="327"/>
      <c r="GJ63" s="327"/>
      <c r="GK63" s="327"/>
      <c r="GL63" s="327"/>
      <c r="GM63" s="327"/>
      <c r="GN63" s="327"/>
      <c r="GO63" s="327"/>
      <c r="GP63" s="327"/>
      <c r="GQ63" s="327"/>
      <c r="GR63" s="327"/>
      <c r="GS63" s="327"/>
      <c r="GT63" s="327"/>
      <c r="GU63" s="327"/>
      <c r="GV63" s="327"/>
      <c r="GW63" s="327"/>
      <c r="GX63" s="327"/>
      <c r="GY63" s="327"/>
      <c r="GZ63" s="327"/>
      <c r="HA63" s="327"/>
      <c r="HB63" s="327"/>
      <c r="HC63" s="327"/>
      <c r="HD63" s="327"/>
      <c r="HE63" s="327"/>
      <c r="HF63" s="327"/>
      <c r="HG63" s="327"/>
      <c r="HH63" s="327"/>
      <c r="HI63" s="327"/>
      <c r="HJ63" s="327"/>
      <c r="HK63" s="327"/>
      <c r="HL63" s="327"/>
      <c r="HM63" s="327"/>
      <c r="HN63" s="327"/>
      <c r="HO63" s="327"/>
      <c r="HP63" s="327"/>
      <c r="HQ63" s="327"/>
      <c r="HR63" s="327"/>
      <c r="HS63" s="327"/>
      <c r="HT63" s="327"/>
      <c r="HU63" s="327"/>
      <c r="HV63" s="327"/>
      <c r="HW63" s="327"/>
      <c r="HX63" s="327"/>
      <c r="HY63" s="327"/>
      <c r="HZ63" s="327"/>
      <c r="IA63" s="327"/>
      <c r="IB63" s="327"/>
      <c r="IC63" s="327"/>
      <c r="ID63" s="327"/>
      <c r="IE63" s="327"/>
      <c r="IF63" s="327"/>
      <c r="IG63" s="327"/>
      <c r="IH63" s="327"/>
      <c r="II63" s="327"/>
      <c r="IJ63" s="327"/>
      <c r="IK63" s="327"/>
      <c r="IL63" s="327"/>
      <c r="IM63" s="327"/>
      <c r="IN63" s="327"/>
      <c r="IO63" s="327"/>
      <c r="IP63" s="327"/>
      <c r="IQ63" s="327"/>
      <c r="IR63" s="327"/>
      <c r="IS63" s="327"/>
      <c r="IT63" s="327"/>
      <c r="IU63" s="327"/>
      <c r="IV63" s="327"/>
      <c r="IW63" s="327"/>
    </row>
    <row r="64" customFormat="false" ht="12.75" hidden="false" customHeight="false" outlineLevel="0" collapsed="false">
      <c r="A64" s="342"/>
      <c r="B64" s="343" t="s">
        <v>359</v>
      </c>
      <c r="C64" s="314"/>
      <c r="D64" s="314"/>
      <c r="E64" s="316" t="n">
        <f aca="false">-E55</f>
        <v>0</v>
      </c>
      <c r="F64" s="316" t="n">
        <f aca="false">-F55</f>
        <v>0</v>
      </c>
      <c r="G64" s="316" t="n">
        <f aca="false">-G55</f>
        <v>0</v>
      </c>
      <c r="H64" s="316" t="n">
        <f aca="false">-H55</f>
        <v>0</v>
      </c>
      <c r="I64" s="316" t="n">
        <f aca="false">-I55</f>
        <v>0</v>
      </c>
      <c r="J64" s="316" t="n">
        <f aca="false">-J55</f>
        <v>0</v>
      </c>
      <c r="K64" s="316" t="n">
        <f aca="false">-K55</f>
        <v>0</v>
      </c>
      <c r="L64" s="316" t="n">
        <f aca="false">-L55</f>
        <v>0</v>
      </c>
      <c r="M64" s="316" t="n">
        <f aca="false">-M55</f>
        <v>174.324282490501</v>
      </c>
      <c r="N64" s="316" t="n">
        <f aca="false">-N55</f>
        <v>517.842586717923</v>
      </c>
      <c r="O64" s="316" t="n">
        <f aca="false">-O55</f>
        <v>733.282099722669</v>
      </c>
      <c r="P64" s="316" t="n">
        <f aca="false">-P55</f>
        <v>876.73961748338</v>
      </c>
      <c r="Q64" s="316" t="n">
        <f aca="false">-Q55</f>
        <v>1064.21611343746</v>
      </c>
      <c r="R64" s="316" t="n">
        <f aca="false">-R55</f>
        <v>1258.56075482547</v>
      </c>
      <c r="S64" s="316" t="n">
        <f aca="false">-S55</f>
        <v>1124.59705195197</v>
      </c>
      <c r="T64" s="316" t="n">
        <f aca="false">-T55</f>
        <v>1604.3943892397</v>
      </c>
      <c r="U64" s="316" t="n">
        <f aca="false">-U55</f>
        <v>1844.51473458374</v>
      </c>
      <c r="V64" s="316" t="n">
        <f aca="false">-V55</f>
        <v>1989.36528231723</v>
      </c>
      <c r="W64" s="316" t="n">
        <f aca="false">-W55</f>
        <v>2087.51010088537</v>
      </c>
      <c r="X64" s="316" t="n">
        <f aca="false">-X55</f>
        <v>2276.40081629353</v>
      </c>
      <c r="Y64" s="316" t="n">
        <f aca="false">-Y55</f>
        <v>1089.76708082191</v>
      </c>
      <c r="Z64" s="317" t="n">
        <f aca="false">SUM(E64:Y64)</f>
        <v>16641.5149107709</v>
      </c>
      <c r="AA64" s="327"/>
      <c r="AB64" s="136" t="n">
        <f aca="false">AB63+1</f>
        <v>58</v>
      </c>
      <c r="AC64" s="327"/>
      <c r="AD64" s="327"/>
      <c r="AE64" s="327"/>
      <c r="AF64" s="327"/>
      <c r="AG64" s="327"/>
      <c r="AH64" s="327"/>
      <c r="AI64" s="327"/>
      <c r="AJ64" s="327"/>
      <c r="AK64" s="327"/>
      <c r="AL64" s="327"/>
      <c r="AM64" s="327"/>
      <c r="AN64" s="327"/>
      <c r="AO64" s="327"/>
      <c r="AP64" s="327"/>
      <c r="AQ64" s="327"/>
      <c r="AR64" s="327"/>
      <c r="AS64" s="327"/>
      <c r="AT64" s="327"/>
      <c r="AU64" s="327"/>
      <c r="AV64" s="327"/>
      <c r="AW64" s="327"/>
      <c r="AX64" s="327"/>
      <c r="AY64" s="327"/>
      <c r="AZ64" s="327"/>
      <c r="BA64" s="327"/>
      <c r="BB64" s="327"/>
      <c r="BC64" s="327"/>
      <c r="BD64" s="327"/>
      <c r="BE64" s="327"/>
      <c r="BF64" s="327"/>
      <c r="BG64" s="327"/>
      <c r="BH64" s="327"/>
      <c r="BI64" s="327"/>
      <c r="BJ64" s="327"/>
      <c r="BK64" s="327"/>
      <c r="BL64" s="327"/>
      <c r="BM64" s="327"/>
      <c r="BN64" s="327"/>
      <c r="BO64" s="327"/>
      <c r="BP64" s="327"/>
      <c r="BQ64" s="327"/>
      <c r="BR64" s="327"/>
      <c r="BS64" s="327"/>
      <c r="BT64" s="327"/>
      <c r="BU64" s="327"/>
      <c r="BV64" s="327"/>
      <c r="BW64" s="327"/>
      <c r="BX64" s="327"/>
      <c r="BY64" s="327"/>
      <c r="BZ64" s="327"/>
      <c r="CA64" s="327"/>
      <c r="CB64" s="327"/>
      <c r="CC64" s="327"/>
      <c r="CD64" s="327"/>
      <c r="CE64" s="327"/>
      <c r="CF64" s="327"/>
      <c r="CG64" s="327"/>
      <c r="CH64" s="327"/>
      <c r="CI64" s="327"/>
      <c r="CJ64" s="327"/>
      <c r="CK64" s="327"/>
      <c r="CL64" s="327"/>
      <c r="CM64" s="327"/>
      <c r="CN64" s="327"/>
      <c r="CO64" s="327"/>
      <c r="CP64" s="327"/>
      <c r="CQ64" s="327"/>
      <c r="CR64" s="327"/>
      <c r="CS64" s="327"/>
      <c r="CT64" s="327"/>
      <c r="CU64" s="327"/>
      <c r="CV64" s="327"/>
      <c r="CW64" s="327"/>
      <c r="CX64" s="327"/>
      <c r="CY64" s="327"/>
      <c r="CZ64" s="327"/>
      <c r="DA64" s="327"/>
      <c r="DB64" s="327"/>
      <c r="DC64" s="327"/>
      <c r="DD64" s="327"/>
      <c r="DE64" s="327"/>
      <c r="DF64" s="327"/>
      <c r="DG64" s="327"/>
      <c r="DH64" s="327"/>
      <c r="DI64" s="327"/>
      <c r="DJ64" s="327"/>
      <c r="DK64" s="327"/>
      <c r="DL64" s="327"/>
      <c r="DM64" s="327"/>
      <c r="DN64" s="327"/>
      <c r="DO64" s="327"/>
      <c r="DP64" s="327"/>
      <c r="DQ64" s="327"/>
      <c r="DR64" s="327"/>
      <c r="DS64" s="327"/>
      <c r="DT64" s="327"/>
      <c r="DU64" s="327"/>
      <c r="DV64" s="327"/>
      <c r="DW64" s="327"/>
      <c r="DX64" s="327"/>
      <c r="DY64" s="327"/>
      <c r="DZ64" s="327"/>
      <c r="EA64" s="327"/>
      <c r="EB64" s="327"/>
      <c r="EC64" s="327"/>
      <c r="ED64" s="327"/>
      <c r="EE64" s="327"/>
      <c r="EF64" s="327"/>
      <c r="EG64" s="327"/>
      <c r="EH64" s="327"/>
      <c r="EI64" s="327"/>
      <c r="EJ64" s="327"/>
      <c r="EK64" s="327"/>
      <c r="EL64" s="327"/>
      <c r="EM64" s="327"/>
      <c r="EN64" s="327"/>
      <c r="EO64" s="327"/>
      <c r="EP64" s="327"/>
      <c r="EQ64" s="327"/>
      <c r="ER64" s="327"/>
      <c r="ES64" s="327"/>
      <c r="ET64" s="327"/>
      <c r="EU64" s="327"/>
      <c r="EV64" s="327"/>
      <c r="EW64" s="327"/>
      <c r="EX64" s="327"/>
      <c r="EY64" s="327"/>
      <c r="EZ64" s="327"/>
      <c r="FA64" s="327"/>
      <c r="FB64" s="327"/>
      <c r="FC64" s="327"/>
      <c r="FD64" s="327"/>
      <c r="FE64" s="327"/>
      <c r="FF64" s="327"/>
      <c r="FG64" s="327"/>
      <c r="FH64" s="327"/>
      <c r="FI64" s="327"/>
      <c r="FJ64" s="327"/>
      <c r="FK64" s="327"/>
      <c r="FL64" s="327"/>
      <c r="FM64" s="327"/>
      <c r="FN64" s="327"/>
      <c r="FO64" s="327"/>
      <c r="FP64" s="327"/>
      <c r="FQ64" s="327"/>
      <c r="FR64" s="327"/>
      <c r="FS64" s="327"/>
      <c r="FT64" s="327"/>
      <c r="FU64" s="327"/>
      <c r="FV64" s="327"/>
      <c r="FW64" s="327"/>
      <c r="FX64" s="327"/>
      <c r="FY64" s="327"/>
      <c r="FZ64" s="327"/>
      <c r="GA64" s="327"/>
      <c r="GB64" s="327"/>
      <c r="GC64" s="327"/>
      <c r="GD64" s="327"/>
      <c r="GE64" s="327"/>
      <c r="GF64" s="327"/>
      <c r="GG64" s="327"/>
      <c r="GH64" s="327"/>
      <c r="GI64" s="327"/>
      <c r="GJ64" s="327"/>
      <c r="GK64" s="327"/>
      <c r="GL64" s="327"/>
      <c r="GM64" s="327"/>
      <c r="GN64" s="327"/>
      <c r="GO64" s="327"/>
      <c r="GP64" s="327"/>
      <c r="GQ64" s="327"/>
      <c r="GR64" s="327"/>
      <c r="GS64" s="327"/>
      <c r="GT64" s="327"/>
      <c r="GU64" s="327"/>
      <c r="GV64" s="327"/>
      <c r="GW64" s="327"/>
      <c r="GX64" s="327"/>
      <c r="GY64" s="327"/>
      <c r="GZ64" s="327"/>
      <c r="HA64" s="327"/>
      <c r="HB64" s="327"/>
      <c r="HC64" s="327"/>
      <c r="HD64" s="327"/>
      <c r="HE64" s="327"/>
      <c r="HF64" s="327"/>
      <c r="HG64" s="327"/>
      <c r="HH64" s="327"/>
      <c r="HI64" s="327"/>
      <c r="HJ64" s="327"/>
      <c r="HK64" s="327"/>
      <c r="HL64" s="327"/>
      <c r="HM64" s="327"/>
      <c r="HN64" s="327"/>
      <c r="HO64" s="327"/>
      <c r="HP64" s="327"/>
      <c r="HQ64" s="327"/>
      <c r="HR64" s="327"/>
      <c r="HS64" s="327"/>
      <c r="HT64" s="327"/>
      <c r="HU64" s="327"/>
      <c r="HV64" s="327"/>
      <c r="HW64" s="327"/>
      <c r="HX64" s="327"/>
      <c r="HY64" s="327"/>
      <c r="HZ64" s="327"/>
      <c r="IA64" s="327"/>
      <c r="IB64" s="327"/>
      <c r="IC64" s="327"/>
      <c r="ID64" s="327"/>
      <c r="IE64" s="327"/>
      <c r="IF64" s="327"/>
      <c r="IG64" s="327"/>
      <c r="IH64" s="327"/>
      <c r="II64" s="327"/>
      <c r="IJ64" s="327"/>
      <c r="IK64" s="327"/>
      <c r="IL64" s="327"/>
      <c r="IM64" s="327"/>
      <c r="IN64" s="327"/>
      <c r="IO64" s="327"/>
      <c r="IP64" s="327"/>
      <c r="IQ64" s="327"/>
      <c r="IR64" s="327"/>
      <c r="IS64" s="327"/>
      <c r="IT64" s="327"/>
      <c r="IU64" s="327"/>
      <c r="IV64" s="327"/>
      <c r="IW64" s="327"/>
    </row>
    <row r="65" customFormat="false" ht="12.75" hidden="false" customHeight="false" outlineLevel="0" collapsed="false">
      <c r="A65" s="342"/>
      <c r="B65" s="314" t="s">
        <v>360</v>
      </c>
      <c r="C65" s="314"/>
      <c r="D65" s="314"/>
      <c r="E65" s="316" t="n">
        <f aca="false">-E58</f>
        <v>-0</v>
      </c>
      <c r="F65" s="316" t="n">
        <f aca="false">-F58</f>
        <v>-0</v>
      </c>
      <c r="G65" s="316" t="n">
        <f aca="false">-G58</f>
        <v>-0</v>
      </c>
      <c r="H65" s="316" t="n">
        <f aca="false">-H58</f>
        <v>-0</v>
      </c>
      <c r="I65" s="316" t="n">
        <f aca="false">-I58</f>
        <v>-0</v>
      </c>
      <c r="J65" s="316" t="n">
        <f aca="false">-J58</f>
        <v>-0</v>
      </c>
      <c r="K65" s="316" t="n">
        <f aca="false">-K58</f>
        <v>-0</v>
      </c>
      <c r="L65" s="316" t="n">
        <f aca="false">-L58</f>
        <v>-0</v>
      </c>
      <c r="M65" s="316" t="n">
        <f aca="false">-M58</f>
        <v>-47.9415472258764</v>
      </c>
      <c r="N65" s="316" t="n">
        <f aca="false">-N58</f>
        <v>-92.9432641307961</v>
      </c>
      <c r="O65" s="316" t="n">
        <f aca="false">-O58</f>
        <v>-6.64409731116911</v>
      </c>
      <c r="P65" s="316" t="n">
        <f aca="false">-P58</f>
        <v>-112.350395862494</v>
      </c>
      <c r="Q65" s="316" t="n">
        <f aca="false">-Q58</f>
        <v>-32.0061773915372</v>
      </c>
      <c r="R65" s="316" t="n">
        <f aca="false">-R58</f>
        <v>-138.641608171478</v>
      </c>
      <c r="S65" s="316" t="n">
        <f aca="false">-S58</f>
        <v>-13.8833820893858</v>
      </c>
      <c r="T65" s="316" t="n">
        <f aca="false">-T58</f>
        <v>13.8833820893858</v>
      </c>
      <c r="U65" s="316" t="n">
        <f aca="false">-U58</f>
        <v>-13.8833820893858</v>
      </c>
      <c r="V65" s="316" t="n">
        <f aca="false">-V58</f>
        <v>13.8833820893858</v>
      </c>
      <c r="W65" s="316" t="n">
        <f aca="false">-W58</f>
        <v>430.527090093351</v>
      </c>
      <c r="X65" s="316" t="n">
        <f aca="false">-X58</f>
        <v>-0</v>
      </c>
      <c r="Y65" s="316" t="n">
        <f aca="false">-Y58</f>
        <v>-0</v>
      </c>
      <c r="Z65" s="317" t="n">
        <f aca="false">SUM(E65:Y65)</f>
        <v>0</v>
      </c>
      <c r="AA65" s="327"/>
      <c r="AB65" s="136" t="n">
        <f aca="false">AB64+1</f>
        <v>59</v>
      </c>
      <c r="AC65" s="327"/>
      <c r="AD65" s="327"/>
      <c r="AE65" s="327"/>
      <c r="AF65" s="327"/>
      <c r="AG65" s="327"/>
      <c r="AH65" s="327"/>
      <c r="AI65" s="327"/>
      <c r="AJ65" s="327"/>
      <c r="AK65" s="327"/>
      <c r="AL65" s="327"/>
      <c r="AM65" s="327"/>
      <c r="AN65" s="327"/>
      <c r="AO65" s="327"/>
      <c r="AP65" s="327"/>
      <c r="AQ65" s="327"/>
      <c r="AR65" s="327"/>
      <c r="AS65" s="327"/>
      <c r="AT65" s="327"/>
      <c r="AU65" s="327"/>
      <c r="AV65" s="327"/>
      <c r="AW65" s="327"/>
      <c r="AX65" s="327"/>
      <c r="AY65" s="327"/>
      <c r="AZ65" s="327"/>
      <c r="BA65" s="327"/>
      <c r="BB65" s="327"/>
      <c r="BC65" s="327"/>
      <c r="BD65" s="327"/>
      <c r="BE65" s="327"/>
      <c r="BF65" s="327"/>
      <c r="BG65" s="327"/>
      <c r="BH65" s="327"/>
      <c r="BI65" s="327"/>
      <c r="BJ65" s="327"/>
      <c r="BK65" s="327"/>
      <c r="BL65" s="327"/>
      <c r="BM65" s="327"/>
      <c r="BN65" s="327"/>
      <c r="BO65" s="327"/>
      <c r="BP65" s="327"/>
      <c r="BQ65" s="327"/>
      <c r="BR65" s="327"/>
      <c r="BS65" s="327"/>
      <c r="BT65" s="327"/>
      <c r="BU65" s="327"/>
      <c r="BV65" s="327"/>
      <c r="BW65" s="327"/>
      <c r="BX65" s="327"/>
      <c r="BY65" s="327"/>
      <c r="BZ65" s="327"/>
      <c r="CA65" s="327"/>
      <c r="CB65" s="327"/>
      <c r="CC65" s="327"/>
      <c r="CD65" s="327"/>
      <c r="CE65" s="327"/>
      <c r="CF65" s="327"/>
      <c r="CG65" s="327"/>
      <c r="CH65" s="327"/>
      <c r="CI65" s="327"/>
      <c r="CJ65" s="327"/>
      <c r="CK65" s="327"/>
      <c r="CL65" s="327"/>
      <c r="CM65" s="327"/>
      <c r="CN65" s="327"/>
      <c r="CO65" s="327"/>
      <c r="CP65" s="327"/>
      <c r="CQ65" s="327"/>
      <c r="CR65" s="327"/>
      <c r="CS65" s="327"/>
      <c r="CT65" s="327"/>
      <c r="CU65" s="327"/>
      <c r="CV65" s="327"/>
      <c r="CW65" s="327"/>
      <c r="CX65" s="327"/>
      <c r="CY65" s="327"/>
      <c r="CZ65" s="327"/>
      <c r="DA65" s="327"/>
      <c r="DB65" s="327"/>
      <c r="DC65" s="327"/>
      <c r="DD65" s="327"/>
      <c r="DE65" s="327"/>
      <c r="DF65" s="327"/>
      <c r="DG65" s="327"/>
      <c r="DH65" s="327"/>
      <c r="DI65" s="327"/>
      <c r="DJ65" s="327"/>
      <c r="DK65" s="327"/>
      <c r="DL65" s="327"/>
      <c r="DM65" s="327"/>
      <c r="DN65" s="327"/>
      <c r="DO65" s="327"/>
      <c r="DP65" s="327"/>
      <c r="DQ65" s="327"/>
      <c r="DR65" s="327"/>
      <c r="DS65" s="327"/>
      <c r="DT65" s="327"/>
      <c r="DU65" s="327"/>
      <c r="DV65" s="327"/>
      <c r="DW65" s="327"/>
      <c r="DX65" s="327"/>
      <c r="DY65" s="327"/>
      <c r="DZ65" s="327"/>
      <c r="EA65" s="327"/>
      <c r="EB65" s="327"/>
      <c r="EC65" s="327"/>
      <c r="ED65" s="327"/>
      <c r="EE65" s="327"/>
      <c r="EF65" s="327"/>
      <c r="EG65" s="327"/>
      <c r="EH65" s="327"/>
      <c r="EI65" s="327"/>
      <c r="EJ65" s="327"/>
      <c r="EK65" s="327"/>
      <c r="EL65" s="327"/>
      <c r="EM65" s="327"/>
      <c r="EN65" s="327"/>
      <c r="EO65" s="327"/>
      <c r="EP65" s="327"/>
      <c r="EQ65" s="327"/>
      <c r="ER65" s="327"/>
      <c r="ES65" s="327"/>
      <c r="ET65" s="327"/>
      <c r="EU65" s="327"/>
      <c r="EV65" s="327"/>
      <c r="EW65" s="327"/>
      <c r="EX65" s="327"/>
      <c r="EY65" s="327"/>
      <c r="EZ65" s="327"/>
      <c r="FA65" s="327"/>
      <c r="FB65" s="327"/>
      <c r="FC65" s="327"/>
      <c r="FD65" s="327"/>
      <c r="FE65" s="327"/>
      <c r="FF65" s="327"/>
      <c r="FG65" s="327"/>
      <c r="FH65" s="327"/>
      <c r="FI65" s="327"/>
      <c r="FJ65" s="327"/>
      <c r="FK65" s="327"/>
      <c r="FL65" s="327"/>
      <c r="FM65" s="327"/>
      <c r="FN65" s="327"/>
      <c r="FO65" s="327"/>
      <c r="FP65" s="327"/>
      <c r="FQ65" s="327"/>
      <c r="FR65" s="327"/>
      <c r="FS65" s="327"/>
      <c r="FT65" s="327"/>
      <c r="FU65" s="327"/>
      <c r="FV65" s="327"/>
      <c r="FW65" s="327"/>
      <c r="FX65" s="327"/>
      <c r="FY65" s="327"/>
      <c r="FZ65" s="327"/>
      <c r="GA65" s="327"/>
      <c r="GB65" s="327"/>
      <c r="GC65" s="327"/>
      <c r="GD65" s="327"/>
      <c r="GE65" s="327"/>
      <c r="GF65" s="327"/>
      <c r="GG65" s="327"/>
      <c r="GH65" s="327"/>
      <c r="GI65" s="327"/>
      <c r="GJ65" s="327"/>
      <c r="GK65" s="327"/>
      <c r="GL65" s="327"/>
      <c r="GM65" s="327"/>
      <c r="GN65" s="327"/>
      <c r="GO65" s="327"/>
      <c r="GP65" s="327"/>
      <c r="GQ65" s="327"/>
      <c r="GR65" s="327"/>
      <c r="GS65" s="327"/>
      <c r="GT65" s="327"/>
      <c r="GU65" s="327"/>
      <c r="GV65" s="327"/>
      <c r="GW65" s="327"/>
      <c r="GX65" s="327"/>
      <c r="GY65" s="327"/>
      <c r="GZ65" s="327"/>
      <c r="HA65" s="327"/>
      <c r="HB65" s="327"/>
      <c r="HC65" s="327"/>
      <c r="HD65" s="327"/>
      <c r="HE65" s="327"/>
      <c r="HF65" s="327"/>
      <c r="HG65" s="327"/>
      <c r="HH65" s="327"/>
      <c r="HI65" s="327"/>
      <c r="HJ65" s="327"/>
      <c r="HK65" s="327"/>
      <c r="HL65" s="327"/>
      <c r="HM65" s="327"/>
      <c r="HN65" s="327"/>
      <c r="HO65" s="327"/>
      <c r="HP65" s="327"/>
      <c r="HQ65" s="327"/>
      <c r="HR65" s="327"/>
      <c r="HS65" s="327"/>
      <c r="HT65" s="327"/>
      <c r="HU65" s="327"/>
      <c r="HV65" s="327"/>
      <c r="HW65" s="327"/>
      <c r="HX65" s="327"/>
      <c r="HY65" s="327"/>
      <c r="HZ65" s="327"/>
      <c r="IA65" s="327"/>
      <c r="IB65" s="327"/>
      <c r="IC65" s="327"/>
      <c r="ID65" s="327"/>
      <c r="IE65" s="327"/>
      <c r="IF65" s="327"/>
      <c r="IG65" s="327"/>
      <c r="IH65" s="327"/>
      <c r="II65" s="327"/>
      <c r="IJ65" s="327"/>
      <c r="IK65" s="327"/>
      <c r="IL65" s="327"/>
      <c r="IM65" s="327"/>
      <c r="IN65" s="327"/>
      <c r="IO65" s="327"/>
      <c r="IP65" s="327"/>
      <c r="IQ65" s="327"/>
      <c r="IR65" s="327"/>
      <c r="IS65" s="327"/>
      <c r="IT65" s="327"/>
      <c r="IU65" s="327"/>
      <c r="IV65" s="327"/>
      <c r="IW65" s="327"/>
    </row>
    <row r="66" customFormat="false" ht="12.75" hidden="false" customHeight="false" outlineLevel="0" collapsed="false">
      <c r="A66" s="342"/>
      <c r="B66" s="343" t="s">
        <v>361</v>
      </c>
      <c r="C66" s="314"/>
      <c r="D66" s="314"/>
      <c r="E66" s="316" t="n">
        <f aca="false">-Taxes!D52</f>
        <v>-0</v>
      </c>
      <c r="F66" s="316" t="n">
        <f aca="false">-Taxes!E52</f>
        <v>-0</v>
      </c>
      <c r="G66" s="316" t="n">
        <f aca="false">-Taxes!F52</f>
        <v>-0</v>
      </c>
      <c r="H66" s="316" t="n">
        <f aca="false">-Taxes!G52</f>
        <v>-0</v>
      </c>
      <c r="I66" s="316" t="n">
        <f aca="false">-Taxes!H52</f>
        <v>-0</v>
      </c>
      <c r="J66" s="316" t="n">
        <f aca="false">-Taxes!I52</f>
        <v>-0</v>
      </c>
      <c r="K66" s="316" t="n">
        <f aca="false">-Taxes!J52</f>
        <v>-0</v>
      </c>
      <c r="L66" s="316" t="n">
        <f aca="false">-Taxes!K52</f>
        <v>-0</v>
      </c>
      <c r="M66" s="316" t="n">
        <f aca="false">-Taxes!L52</f>
        <v>-126.382735264625</v>
      </c>
      <c r="N66" s="316" t="n">
        <f aca="false">-Taxes!M52</f>
        <v>-376.957775361251</v>
      </c>
      <c r="O66" s="316" t="n">
        <f aca="false">-Taxes!N52</f>
        <v>-633.694738280704</v>
      </c>
      <c r="P66" s="316" t="n">
        <f aca="false">-Taxes!O52</f>
        <v>-757.745124309717</v>
      </c>
      <c r="Q66" s="316" t="n">
        <f aca="false">-Taxes!P52</f>
        <v>-919.859540183429</v>
      </c>
      <c r="R66" s="316" t="n">
        <f aca="false">-Taxes!Q52</f>
        <v>-1087.91296926246</v>
      </c>
      <c r="S66" s="316" t="n">
        <f aca="false">-Taxes!R52</f>
        <v>-972.072061691106</v>
      </c>
      <c r="T66" s="316" t="n">
        <f aca="false">-Taxes!S52</f>
        <v>-1604.3943892397</v>
      </c>
      <c r="U66" s="316" t="n">
        <f aca="false">-Taxes!T52</f>
        <v>-1844.51473458374</v>
      </c>
      <c r="V66" s="316" t="n">
        <f aca="false">-Taxes!U52</f>
        <v>-1989.36528231723</v>
      </c>
      <c r="W66" s="316" t="n">
        <f aca="false">-Taxes!V52</f>
        <v>-2087.51010088537</v>
      </c>
      <c r="X66" s="316" t="n">
        <f aca="false">-Taxes!W52</f>
        <v>-2276.40081629353</v>
      </c>
      <c r="Y66" s="316" t="n">
        <f aca="false">-Taxes!X52</f>
        <v>-1089.76708082191</v>
      </c>
      <c r="Z66" s="317" t="n">
        <f aca="false">SUM(E66:Y66)</f>
        <v>-15766.5773484948</v>
      </c>
      <c r="AA66" s="327"/>
      <c r="AB66" s="136" t="n">
        <f aca="false">AB65+1</f>
        <v>60</v>
      </c>
      <c r="AC66" s="327"/>
      <c r="AD66" s="327"/>
      <c r="AE66" s="327"/>
      <c r="AF66" s="327"/>
      <c r="AG66" s="327"/>
      <c r="AH66" s="327"/>
      <c r="AI66" s="327"/>
      <c r="AJ66" s="327"/>
      <c r="AK66" s="327"/>
      <c r="AL66" s="327"/>
      <c r="AM66" s="327"/>
      <c r="AN66" s="327"/>
      <c r="AO66" s="327"/>
      <c r="AP66" s="327"/>
      <c r="AQ66" s="327"/>
      <c r="AR66" s="327"/>
      <c r="AS66" s="327"/>
      <c r="AT66" s="327"/>
      <c r="AU66" s="327"/>
      <c r="AV66" s="327"/>
      <c r="AW66" s="327"/>
      <c r="AX66" s="327"/>
      <c r="AY66" s="327"/>
      <c r="AZ66" s="327"/>
      <c r="BA66" s="327"/>
      <c r="BB66" s="327"/>
      <c r="BC66" s="327"/>
      <c r="BD66" s="327"/>
      <c r="BE66" s="327"/>
      <c r="BF66" s="327"/>
      <c r="BG66" s="327"/>
      <c r="BH66" s="327"/>
      <c r="BI66" s="327"/>
      <c r="BJ66" s="327"/>
      <c r="BK66" s="327"/>
      <c r="BL66" s="327"/>
      <c r="BM66" s="327"/>
      <c r="BN66" s="327"/>
      <c r="BO66" s="327"/>
      <c r="BP66" s="327"/>
      <c r="BQ66" s="327"/>
      <c r="BR66" s="327"/>
      <c r="BS66" s="327"/>
      <c r="BT66" s="327"/>
      <c r="BU66" s="327"/>
      <c r="BV66" s="327"/>
      <c r="BW66" s="327"/>
      <c r="BX66" s="327"/>
      <c r="BY66" s="327"/>
      <c r="BZ66" s="327"/>
      <c r="CA66" s="327"/>
      <c r="CB66" s="327"/>
      <c r="CC66" s="327"/>
      <c r="CD66" s="327"/>
      <c r="CE66" s="327"/>
      <c r="CF66" s="327"/>
      <c r="CG66" s="327"/>
      <c r="CH66" s="327"/>
      <c r="CI66" s="327"/>
      <c r="CJ66" s="327"/>
      <c r="CK66" s="327"/>
      <c r="CL66" s="327"/>
      <c r="CM66" s="327"/>
      <c r="CN66" s="327"/>
      <c r="CO66" s="327"/>
      <c r="CP66" s="327"/>
      <c r="CQ66" s="327"/>
      <c r="CR66" s="327"/>
      <c r="CS66" s="327"/>
      <c r="CT66" s="327"/>
      <c r="CU66" s="327"/>
      <c r="CV66" s="327"/>
      <c r="CW66" s="327"/>
      <c r="CX66" s="327"/>
      <c r="CY66" s="327"/>
      <c r="CZ66" s="327"/>
      <c r="DA66" s="327"/>
      <c r="DB66" s="327"/>
      <c r="DC66" s="327"/>
      <c r="DD66" s="327"/>
      <c r="DE66" s="327"/>
      <c r="DF66" s="327"/>
      <c r="DG66" s="327"/>
      <c r="DH66" s="327"/>
      <c r="DI66" s="327"/>
      <c r="DJ66" s="327"/>
      <c r="DK66" s="327"/>
      <c r="DL66" s="327"/>
      <c r="DM66" s="327"/>
      <c r="DN66" s="327"/>
      <c r="DO66" s="327"/>
      <c r="DP66" s="327"/>
      <c r="DQ66" s="327"/>
      <c r="DR66" s="327"/>
      <c r="DS66" s="327"/>
      <c r="DT66" s="327"/>
      <c r="DU66" s="327"/>
      <c r="DV66" s="327"/>
      <c r="DW66" s="327"/>
      <c r="DX66" s="327"/>
      <c r="DY66" s="327"/>
      <c r="DZ66" s="327"/>
      <c r="EA66" s="327"/>
      <c r="EB66" s="327"/>
      <c r="EC66" s="327"/>
      <c r="ED66" s="327"/>
      <c r="EE66" s="327"/>
      <c r="EF66" s="327"/>
      <c r="EG66" s="327"/>
      <c r="EH66" s="327"/>
      <c r="EI66" s="327"/>
      <c r="EJ66" s="327"/>
      <c r="EK66" s="327"/>
      <c r="EL66" s="327"/>
      <c r="EM66" s="327"/>
      <c r="EN66" s="327"/>
      <c r="EO66" s="327"/>
      <c r="EP66" s="327"/>
      <c r="EQ66" s="327"/>
      <c r="ER66" s="327"/>
      <c r="ES66" s="327"/>
      <c r="ET66" s="327"/>
      <c r="EU66" s="327"/>
      <c r="EV66" s="327"/>
      <c r="EW66" s="327"/>
      <c r="EX66" s="327"/>
      <c r="EY66" s="327"/>
      <c r="EZ66" s="327"/>
      <c r="FA66" s="327"/>
      <c r="FB66" s="327"/>
      <c r="FC66" s="327"/>
      <c r="FD66" s="327"/>
      <c r="FE66" s="327"/>
      <c r="FF66" s="327"/>
      <c r="FG66" s="327"/>
      <c r="FH66" s="327"/>
      <c r="FI66" s="327"/>
      <c r="FJ66" s="327"/>
      <c r="FK66" s="327"/>
      <c r="FL66" s="327"/>
      <c r="FM66" s="327"/>
      <c r="FN66" s="327"/>
      <c r="FO66" s="327"/>
      <c r="FP66" s="327"/>
      <c r="FQ66" s="327"/>
      <c r="FR66" s="327"/>
      <c r="FS66" s="327"/>
      <c r="FT66" s="327"/>
      <c r="FU66" s="327"/>
      <c r="FV66" s="327"/>
      <c r="FW66" s="327"/>
      <c r="FX66" s="327"/>
      <c r="FY66" s="327"/>
      <c r="FZ66" s="327"/>
      <c r="GA66" s="327"/>
      <c r="GB66" s="327"/>
      <c r="GC66" s="327"/>
      <c r="GD66" s="327"/>
      <c r="GE66" s="327"/>
      <c r="GF66" s="327"/>
      <c r="GG66" s="327"/>
      <c r="GH66" s="327"/>
      <c r="GI66" s="327"/>
      <c r="GJ66" s="327"/>
      <c r="GK66" s="327"/>
      <c r="GL66" s="327"/>
      <c r="GM66" s="327"/>
      <c r="GN66" s="327"/>
      <c r="GO66" s="327"/>
      <c r="GP66" s="327"/>
      <c r="GQ66" s="327"/>
      <c r="GR66" s="327"/>
      <c r="GS66" s="327"/>
      <c r="GT66" s="327"/>
      <c r="GU66" s="327"/>
      <c r="GV66" s="327"/>
      <c r="GW66" s="327"/>
      <c r="GX66" s="327"/>
      <c r="GY66" s="327"/>
      <c r="GZ66" s="327"/>
      <c r="HA66" s="327"/>
      <c r="HB66" s="327"/>
      <c r="HC66" s="327"/>
      <c r="HD66" s="327"/>
      <c r="HE66" s="327"/>
      <c r="HF66" s="327"/>
      <c r="HG66" s="327"/>
      <c r="HH66" s="327"/>
      <c r="HI66" s="327"/>
      <c r="HJ66" s="327"/>
      <c r="HK66" s="327"/>
      <c r="HL66" s="327"/>
      <c r="HM66" s="327"/>
      <c r="HN66" s="327"/>
      <c r="HO66" s="327"/>
      <c r="HP66" s="327"/>
      <c r="HQ66" s="327"/>
      <c r="HR66" s="327"/>
      <c r="HS66" s="327"/>
      <c r="HT66" s="327"/>
      <c r="HU66" s="327"/>
      <c r="HV66" s="327"/>
      <c r="HW66" s="327"/>
      <c r="HX66" s="327"/>
      <c r="HY66" s="327"/>
      <c r="HZ66" s="327"/>
      <c r="IA66" s="327"/>
      <c r="IB66" s="327"/>
      <c r="IC66" s="327"/>
      <c r="ID66" s="327"/>
      <c r="IE66" s="327"/>
      <c r="IF66" s="327"/>
      <c r="IG66" s="327"/>
      <c r="IH66" s="327"/>
      <c r="II66" s="327"/>
      <c r="IJ66" s="327"/>
      <c r="IK66" s="327"/>
      <c r="IL66" s="327"/>
      <c r="IM66" s="327"/>
      <c r="IN66" s="327"/>
      <c r="IO66" s="327"/>
      <c r="IP66" s="327"/>
      <c r="IQ66" s="327"/>
      <c r="IR66" s="327"/>
      <c r="IS66" s="327"/>
      <c r="IT66" s="327"/>
      <c r="IU66" s="327"/>
      <c r="IV66" s="327"/>
      <c r="IW66" s="327"/>
    </row>
    <row r="67" customFormat="false" ht="12.75" hidden="false" customHeight="false" outlineLevel="0" collapsed="false">
      <c r="A67" s="342"/>
      <c r="B67" s="343" t="s">
        <v>362</v>
      </c>
      <c r="C67" s="314"/>
      <c r="D67" s="314"/>
      <c r="E67" s="316" t="n">
        <f aca="false">-'Debt Amort'!E13</f>
        <v>-0</v>
      </c>
      <c r="F67" s="316" t="n">
        <f aca="false">-'Debt Amort'!F13</f>
        <v>-0</v>
      </c>
      <c r="G67" s="316" t="n">
        <f aca="false">-'Debt Amort'!G13</f>
        <v>-0</v>
      </c>
      <c r="H67" s="316" t="n">
        <f aca="false">-'Debt Amort'!H13</f>
        <v>-1138.91356350354</v>
      </c>
      <c r="I67" s="316" t="n">
        <f aca="false">-'Debt Amort'!I13</f>
        <v>-1930.91355656376</v>
      </c>
      <c r="J67" s="316" t="n">
        <f aca="false">-'Debt Amort'!J13</f>
        <v>-5423.91448472967</v>
      </c>
      <c r="K67" s="316" t="n">
        <f aca="false">-'Debt Amort'!K13</f>
        <v>-6885.73175722412</v>
      </c>
      <c r="L67" s="316" t="n">
        <f aca="false">-'Debt Amort'!L13</f>
        <v>-7800.74613079801</v>
      </c>
      <c r="M67" s="316" t="n">
        <f aca="false">-'Debt Amort'!M13</f>
        <v>-8370.25715169463</v>
      </c>
      <c r="N67" s="316" t="n">
        <f aca="false">-'Debt Amort'!N13</f>
        <v>-6350.3913975813</v>
      </c>
      <c r="O67" s="316" t="n">
        <f aca="false">-'Debt Amort'!O13</f>
        <v>-4330.52564346797</v>
      </c>
      <c r="P67" s="316" t="n">
        <f aca="false">-'Debt Amort'!P13</f>
        <v>-4330.52564346797</v>
      </c>
      <c r="Q67" s="316" t="n">
        <f aca="false">-'Debt Amort'!Q13</f>
        <v>-5340.45852052463</v>
      </c>
      <c r="R67" s="316" t="n">
        <f aca="false">-'Debt Amort'!R13</f>
        <v>-6350.3913975813</v>
      </c>
      <c r="S67" s="316" t="n">
        <f aca="false">-'Debt Amort'!S13</f>
        <v>-6350.3913975813</v>
      </c>
      <c r="T67" s="316" t="n">
        <f aca="false">-'Debt Amort'!T13</f>
        <v>-6578.19580593994</v>
      </c>
      <c r="U67" s="316" t="n">
        <f aca="false">-'Debt Amort'!U13</f>
        <v>-4753.44633555736</v>
      </c>
      <c r="V67" s="316" t="n">
        <f aca="false">-'Debt Amort'!V13</f>
        <v>-0</v>
      </c>
      <c r="W67" s="316" t="n">
        <f aca="false">-'Debt Amort'!W13</f>
        <v>-0</v>
      </c>
      <c r="X67" s="316" t="n">
        <f aca="false">-'Debt Amort'!X13</f>
        <v>-0</v>
      </c>
      <c r="Y67" s="316" t="n">
        <f aca="false">-'Debt Amort'!Y13</f>
        <v>-0</v>
      </c>
      <c r="Z67" s="317" t="n">
        <f aca="false">SUM(E67:Y67)</f>
        <v>-75934.8027862155</v>
      </c>
      <c r="AA67" s="314"/>
      <c r="AB67" s="136" t="n">
        <f aca="false">AB66+1</f>
        <v>61</v>
      </c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14"/>
      <c r="BP67" s="314"/>
      <c r="BQ67" s="314"/>
      <c r="BR67" s="314"/>
      <c r="BS67" s="314"/>
      <c r="BT67" s="314"/>
      <c r="BU67" s="314"/>
      <c r="BV67" s="314"/>
      <c r="BW67" s="314"/>
      <c r="BX67" s="314"/>
      <c r="BY67" s="314"/>
      <c r="BZ67" s="314"/>
      <c r="CA67" s="314"/>
      <c r="CB67" s="314"/>
      <c r="CC67" s="314"/>
      <c r="CD67" s="314"/>
      <c r="CE67" s="314"/>
      <c r="CF67" s="314"/>
      <c r="CG67" s="314"/>
      <c r="CH67" s="314"/>
      <c r="CI67" s="314"/>
      <c r="CJ67" s="314"/>
      <c r="CK67" s="314"/>
      <c r="CL67" s="314"/>
      <c r="CM67" s="314"/>
      <c r="CN67" s="314"/>
      <c r="CO67" s="314"/>
      <c r="CP67" s="314"/>
      <c r="CQ67" s="314"/>
      <c r="CR67" s="314"/>
      <c r="CS67" s="314"/>
      <c r="CT67" s="314"/>
      <c r="CU67" s="314"/>
      <c r="CV67" s="314"/>
      <c r="CW67" s="314"/>
      <c r="CX67" s="314"/>
      <c r="CY67" s="314"/>
      <c r="CZ67" s="314"/>
      <c r="DA67" s="314"/>
      <c r="DB67" s="314"/>
      <c r="DC67" s="314"/>
      <c r="DD67" s="314"/>
      <c r="DE67" s="314"/>
      <c r="DF67" s="314"/>
      <c r="DG67" s="314"/>
      <c r="DH67" s="314"/>
      <c r="DI67" s="314"/>
      <c r="DJ67" s="314"/>
      <c r="DK67" s="314"/>
      <c r="DL67" s="314"/>
      <c r="DM67" s="314"/>
      <c r="DN67" s="314"/>
      <c r="DO67" s="314"/>
      <c r="DP67" s="314"/>
      <c r="DQ67" s="314"/>
      <c r="DR67" s="314"/>
      <c r="DS67" s="314"/>
      <c r="DT67" s="314"/>
      <c r="DU67" s="314"/>
      <c r="DV67" s="314"/>
      <c r="DW67" s="314"/>
      <c r="DX67" s="314"/>
      <c r="DY67" s="314"/>
      <c r="DZ67" s="314"/>
      <c r="EA67" s="314"/>
      <c r="EB67" s="314"/>
      <c r="EC67" s="314"/>
      <c r="ED67" s="314"/>
      <c r="EE67" s="314"/>
      <c r="EF67" s="314"/>
      <c r="EG67" s="314"/>
      <c r="EH67" s="314"/>
      <c r="EI67" s="314"/>
      <c r="EJ67" s="314"/>
      <c r="EK67" s="314"/>
      <c r="EL67" s="314"/>
      <c r="EM67" s="314"/>
      <c r="EN67" s="314"/>
      <c r="EO67" s="314"/>
      <c r="EP67" s="314"/>
      <c r="EQ67" s="314"/>
      <c r="ER67" s="314"/>
      <c r="ES67" s="314"/>
      <c r="ET67" s="314"/>
      <c r="EU67" s="314"/>
      <c r="EV67" s="314"/>
      <c r="EW67" s="314"/>
      <c r="EX67" s="314"/>
      <c r="EY67" s="314"/>
      <c r="EZ67" s="314"/>
      <c r="FA67" s="314"/>
      <c r="FB67" s="314"/>
      <c r="FC67" s="314"/>
      <c r="FD67" s="314"/>
      <c r="FE67" s="314"/>
      <c r="FF67" s="314"/>
      <c r="FG67" s="314"/>
      <c r="FH67" s="314"/>
      <c r="FI67" s="314"/>
      <c r="FJ67" s="314"/>
      <c r="FK67" s="314"/>
      <c r="FL67" s="314"/>
      <c r="FM67" s="314"/>
      <c r="FN67" s="314"/>
      <c r="FO67" s="314"/>
      <c r="FP67" s="314"/>
      <c r="FQ67" s="314"/>
      <c r="FR67" s="314"/>
      <c r="FS67" s="314"/>
      <c r="FT67" s="314"/>
      <c r="FU67" s="314"/>
      <c r="FV67" s="314"/>
      <c r="FW67" s="314"/>
      <c r="FX67" s="314"/>
      <c r="FY67" s="314"/>
      <c r="FZ67" s="314"/>
      <c r="GA67" s="314"/>
      <c r="GB67" s="314"/>
      <c r="GC67" s="314"/>
      <c r="GD67" s="314"/>
      <c r="GE67" s="314"/>
      <c r="GF67" s="314"/>
      <c r="GG67" s="314"/>
      <c r="GH67" s="314"/>
      <c r="GI67" s="314"/>
      <c r="GJ67" s="314"/>
      <c r="GK67" s="314"/>
      <c r="GL67" s="314"/>
      <c r="GM67" s="314"/>
      <c r="GN67" s="314"/>
      <c r="GO67" s="314"/>
      <c r="GP67" s="314"/>
      <c r="GQ67" s="314"/>
      <c r="GR67" s="314"/>
      <c r="GS67" s="314"/>
      <c r="GT67" s="314"/>
      <c r="GU67" s="314"/>
      <c r="GV67" s="314"/>
      <c r="GW67" s="314"/>
      <c r="GX67" s="314"/>
      <c r="GY67" s="314"/>
      <c r="GZ67" s="314"/>
      <c r="HA67" s="314"/>
      <c r="HB67" s="314"/>
      <c r="HC67" s="314"/>
      <c r="HD67" s="314"/>
      <c r="HE67" s="314"/>
      <c r="HF67" s="314"/>
      <c r="HG67" s="314"/>
      <c r="HH67" s="314"/>
      <c r="HI67" s="314"/>
      <c r="HJ67" s="314"/>
      <c r="HK67" s="314"/>
      <c r="HL67" s="314"/>
      <c r="HM67" s="314"/>
      <c r="HN67" s="314"/>
      <c r="HO67" s="314"/>
      <c r="HP67" s="314"/>
      <c r="HQ67" s="314"/>
      <c r="HR67" s="314"/>
      <c r="HS67" s="314"/>
      <c r="HT67" s="314"/>
      <c r="HU67" s="314"/>
      <c r="HV67" s="314"/>
      <c r="HW67" s="314"/>
      <c r="HX67" s="314"/>
      <c r="HY67" s="314"/>
      <c r="HZ67" s="314"/>
      <c r="IA67" s="314"/>
      <c r="IB67" s="314"/>
      <c r="IC67" s="314"/>
      <c r="ID67" s="314"/>
      <c r="IE67" s="314"/>
      <c r="IF67" s="314"/>
      <c r="IG67" s="314"/>
      <c r="IH67" s="314"/>
      <c r="II67" s="314"/>
      <c r="IJ67" s="314"/>
      <c r="IK67" s="314"/>
      <c r="IL67" s="314"/>
      <c r="IM67" s="314"/>
      <c r="IN67" s="314"/>
      <c r="IO67" s="314"/>
      <c r="IP67" s="314"/>
      <c r="IQ67" s="314"/>
      <c r="IR67" s="314"/>
      <c r="IS67" s="314"/>
      <c r="IT67" s="314"/>
      <c r="IU67" s="314"/>
      <c r="IV67" s="314"/>
      <c r="IW67" s="314"/>
    </row>
    <row r="68" customFormat="false" ht="12.75" hidden="false" customHeight="false" outlineLevel="0" collapsed="false">
      <c r="A68" s="342"/>
      <c r="B68" s="343"/>
      <c r="C68" s="314"/>
      <c r="D68" s="314"/>
      <c r="E68" s="316"/>
      <c r="F68" s="316"/>
      <c r="G68" s="316"/>
      <c r="H68" s="316"/>
      <c r="I68" s="316"/>
      <c r="J68" s="316"/>
      <c r="K68" s="316"/>
      <c r="L68" s="316"/>
      <c r="M68" s="316"/>
      <c r="N68" s="316"/>
      <c r="O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7"/>
      <c r="AA68" s="314"/>
      <c r="AB68" s="136" t="n">
        <f aca="false">AB67+1</f>
        <v>62</v>
      </c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4"/>
      <c r="AZ68" s="31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14"/>
      <c r="BL68" s="314"/>
      <c r="BM68" s="314"/>
      <c r="BN68" s="314"/>
      <c r="BO68" s="314"/>
      <c r="BP68" s="314"/>
      <c r="BQ68" s="314"/>
      <c r="BR68" s="314"/>
      <c r="BS68" s="314"/>
      <c r="BT68" s="314"/>
      <c r="BU68" s="314"/>
      <c r="BV68" s="314"/>
      <c r="BW68" s="314"/>
      <c r="BX68" s="314"/>
      <c r="BY68" s="314"/>
      <c r="BZ68" s="314"/>
      <c r="CA68" s="314"/>
      <c r="CB68" s="314"/>
      <c r="CC68" s="314"/>
      <c r="CD68" s="314"/>
      <c r="CE68" s="314"/>
      <c r="CF68" s="314"/>
      <c r="CG68" s="314"/>
      <c r="CH68" s="314"/>
      <c r="CI68" s="314"/>
      <c r="CJ68" s="314"/>
      <c r="CK68" s="314"/>
      <c r="CL68" s="314"/>
      <c r="CM68" s="314"/>
      <c r="CN68" s="314"/>
      <c r="CO68" s="314"/>
      <c r="CP68" s="314"/>
      <c r="CQ68" s="314"/>
      <c r="CR68" s="314"/>
      <c r="CS68" s="314"/>
      <c r="CT68" s="314"/>
      <c r="CU68" s="314"/>
      <c r="CV68" s="314"/>
      <c r="CW68" s="314"/>
      <c r="CX68" s="314"/>
      <c r="CY68" s="314"/>
      <c r="CZ68" s="314"/>
      <c r="DA68" s="314"/>
      <c r="DB68" s="314"/>
      <c r="DC68" s="314"/>
      <c r="DD68" s="314"/>
      <c r="DE68" s="314"/>
      <c r="DF68" s="314"/>
      <c r="DG68" s="314"/>
      <c r="DH68" s="314"/>
      <c r="DI68" s="314"/>
      <c r="DJ68" s="314"/>
      <c r="DK68" s="314"/>
      <c r="DL68" s="314"/>
      <c r="DM68" s="314"/>
      <c r="DN68" s="314"/>
      <c r="DO68" s="314"/>
      <c r="DP68" s="314"/>
      <c r="DQ68" s="314"/>
      <c r="DR68" s="314"/>
      <c r="DS68" s="314"/>
      <c r="DT68" s="314"/>
      <c r="DU68" s="314"/>
      <c r="DV68" s="314"/>
      <c r="DW68" s="314"/>
      <c r="DX68" s="314"/>
      <c r="DY68" s="314"/>
      <c r="DZ68" s="314"/>
      <c r="EA68" s="314"/>
      <c r="EB68" s="314"/>
      <c r="EC68" s="314"/>
      <c r="ED68" s="314"/>
      <c r="EE68" s="314"/>
      <c r="EF68" s="314"/>
      <c r="EG68" s="314"/>
      <c r="EH68" s="314"/>
      <c r="EI68" s="314"/>
      <c r="EJ68" s="314"/>
      <c r="EK68" s="314"/>
      <c r="EL68" s="314"/>
      <c r="EM68" s="314"/>
      <c r="EN68" s="314"/>
      <c r="EO68" s="314"/>
      <c r="EP68" s="314"/>
      <c r="EQ68" s="314"/>
      <c r="ER68" s="314"/>
      <c r="ES68" s="314"/>
      <c r="ET68" s="314"/>
      <c r="EU68" s="314"/>
      <c r="EV68" s="314"/>
      <c r="EW68" s="314"/>
      <c r="EX68" s="314"/>
      <c r="EY68" s="314"/>
      <c r="EZ68" s="314"/>
      <c r="FA68" s="314"/>
      <c r="FB68" s="314"/>
      <c r="FC68" s="314"/>
      <c r="FD68" s="314"/>
      <c r="FE68" s="314"/>
      <c r="FF68" s="314"/>
      <c r="FG68" s="314"/>
      <c r="FH68" s="314"/>
      <c r="FI68" s="314"/>
      <c r="FJ68" s="314"/>
      <c r="FK68" s="314"/>
      <c r="FL68" s="314"/>
      <c r="FM68" s="314"/>
      <c r="FN68" s="314"/>
      <c r="FO68" s="314"/>
      <c r="FP68" s="314"/>
      <c r="FQ68" s="314"/>
      <c r="FR68" s="314"/>
      <c r="FS68" s="314"/>
      <c r="FT68" s="314"/>
      <c r="FU68" s="314"/>
      <c r="FV68" s="314"/>
      <c r="FW68" s="314"/>
      <c r="FX68" s="314"/>
      <c r="FY68" s="314"/>
      <c r="FZ68" s="314"/>
      <c r="GA68" s="314"/>
      <c r="GB68" s="314"/>
      <c r="GC68" s="314"/>
      <c r="GD68" s="314"/>
      <c r="GE68" s="314"/>
      <c r="GF68" s="314"/>
      <c r="GG68" s="314"/>
      <c r="GH68" s="314"/>
      <c r="GI68" s="314"/>
      <c r="GJ68" s="314"/>
      <c r="GK68" s="314"/>
      <c r="GL68" s="314"/>
      <c r="GM68" s="314"/>
      <c r="GN68" s="314"/>
      <c r="GO68" s="314"/>
      <c r="GP68" s="314"/>
      <c r="GQ68" s="314"/>
      <c r="GR68" s="314"/>
      <c r="GS68" s="314"/>
      <c r="GT68" s="314"/>
      <c r="GU68" s="314"/>
      <c r="GV68" s="314"/>
      <c r="GW68" s="314"/>
      <c r="GX68" s="314"/>
      <c r="GY68" s="314"/>
      <c r="GZ68" s="314"/>
      <c r="HA68" s="314"/>
      <c r="HB68" s="314"/>
      <c r="HC68" s="314"/>
      <c r="HD68" s="314"/>
      <c r="HE68" s="314"/>
      <c r="HF68" s="314"/>
      <c r="HG68" s="314"/>
      <c r="HH68" s="314"/>
      <c r="HI68" s="314"/>
      <c r="HJ68" s="314"/>
      <c r="HK68" s="314"/>
      <c r="HL68" s="314"/>
      <c r="HM68" s="314"/>
      <c r="HN68" s="314"/>
      <c r="HO68" s="314"/>
      <c r="HP68" s="314"/>
      <c r="HQ68" s="314"/>
      <c r="HR68" s="314"/>
      <c r="HS68" s="314"/>
      <c r="HT68" s="314"/>
      <c r="HU68" s="314"/>
      <c r="HV68" s="314"/>
      <c r="HW68" s="314"/>
      <c r="HX68" s="314"/>
      <c r="HY68" s="314"/>
      <c r="HZ68" s="314"/>
      <c r="IA68" s="314"/>
      <c r="IB68" s="314"/>
      <c r="IC68" s="314"/>
      <c r="ID68" s="314"/>
      <c r="IE68" s="314"/>
      <c r="IF68" s="314"/>
      <c r="IG68" s="314"/>
      <c r="IH68" s="314"/>
      <c r="II68" s="314"/>
      <c r="IJ68" s="314"/>
      <c r="IK68" s="314"/>
      <c r="IL68" s="314"/>
      <c r="IM68" s="314"/>
      <c r="IN68" s="314"/>
      <c r="IO68" s="314"/>
      <c r="IP68" s="314"/>
      <c r="IQ68" s="314"/>
      <c r="IR68" s="314"/>
      <c r="IS68" s="314"/>
      <c r="IT68" s="314"/>
      <c r="IU68" s="314"/>
      <c r="IV68" s="314"/>
      <c r="IW68" s="314"/>
    </row>
    <row r="69" customFormat="false" ht="12.75" hidden="false" customHeight="false" outlineLevel="0" collapsed="false">
      <c r="A69" s="333" t="s">
        <v>363</v>
      </c>
      <c r="B69" s="334"/>
      <c r="C69" s="334"/>
      <c r="D69" s="334"/>
      <c r="E69" s="335" t="n">
        <f aca="false">SUM(E60:E68)</f>
        <v>0</v>
      </c>
      <c r="F69" s="335" t="n">
        <f aca="false">SUM(F60:F68)</f>
        <v>0</v>
      </c>
      <c r="G69" s="335" t="n">
        <f aca="false">SUM(G60:G68)</f>
        <v>417.210678711196</v>
      </c>
      <c r="H69" s="335" t="n">
        <f aca="false">SUM(H60:H68)</f>
        <v>-4130.59706142502</v>
      </c>
      <c r="I69" s="335" t="n">
        <f aca="false">SUM(I60:I68)</f>
        <v>-5096.21215898903</v>
      </c>
      <c r="J69" s="335" t="n">
        <f aca="false">SUM(J60:J68)</f>
        <v>-3710.70945178187</v>
      </c>
      <c r="K69" s="335" t="n">
        <f aca="false">SUM(K60:K68)</f>
        <v>-3914.67527170614</v>
      </c>
      <c r="L69" s="335" t="n">
        <f aca="false">SUM(L60:L68)</f>
        <v>-3834.33440813169</v>
      </c>
      <c r="M69" s="335" t="n">
        <f aca="false">SUM(M60:M68)</f>
        <v>-3243.15342618906</v>
      </c>
      <c r="N69" s="335" t="n">
        <f aca="false">SUM(N60:N68)</f>
        <v>255.792185148926</v>
      </c>
      <c r="O69" s="335" t="n">
        <f aca="false">SUM(O60:O68)</f>
        <v>3226.68020655313</v>
      </c>
      <c r="P69" s="335" t="n">
        <f aca="false">SUM(P60:P68)</f>
        <v>4035.70675039168</v>
      </c>
      <c r="Q69" s="335" t="n">
        <f aca="false">SUM(Q60:Q68)</f>
        <v>4029.1794731838</v>
      </c>
      <c r="R69" s="335" t="n">
        <f aca="false">SUM(R60:R68)</f>
        <v>4093.95213183548</v>
      </c>
      <c r="S69" s="335" t="n">
        <f aca="false">SUM(S60:S68)</f>
        <v>3964.07730633029</v>
      </c>
      <c r="T69" s="335" t="n">
        <f aca="false">SUM(T60:T68)</f>
        <v>5180.99532058638</v>
      </c>
      <c r="U69" s="335" t="n">
        <f aca="false">SUM(U60:U68)</f>
        <v>7805.10646010131</v>
      </c>
      <c r="V69" s="335" t="n">
        <f aca="false">SUM(V60:V68)</f>
        <v>13040.7608961221</v>
      </c>
      <c r="W69" s="335" t="n">
        <f aca="false">SUM(W60:W68)</f>
        <v>13367.4854220048</v>
      </c>
      <c r="X69" s="335" t="n">
        <f aca="false">SUM(X60:X68)</f>
        <v>13901.9690977088</v>
      </c>
      <c r="Y69" s="335" t="n">
        <f aca="false">SUM(Y60:Y68)</f>
        <v>4342.186990243</v>
      </c>
      <c r="Z69" s="336" t="n">
        <f aca="false">SUM(E69:Y69)</f>
        <v>53731.4211406981</v>
      </c>
      <c r="AA69" s="314"/>
      <c r="AB69" s="136" t="n">
        <f aca="false">AB68+1</f>
        <v>63</v>
      </c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14"/>
      <c r="BL69" s="314"/>
      <c r="BM69" s="314"/>
      <c r="BN69" s="314"/>
      <c r="BO69" s="314"/>
      <c r="BP69" s="314"/>
      <c r="BQ69" s="314"/>
      <c r="BR69" s="314"/>
      <c r="BS69" s="314"/>
      <c r="BT69" s="314"/>
      <c r="BU69" s="314"/>
      <c r="BV69" s="314"/>
      <c r="BW69" s="314"/>
      <c r="BX69" s="314"/>
      <c r="BY69" s="314"/>
      <c r="BZ69" s="314"/>
      <c r="CA69" s="314"/>
      <c r="CB69" s="314"/>
      <c r="CC69" s="314"/>
      <c r="CD69" s="314"/>
      <c r="CE69" s="314"/>
      <c r="CF69" s="314"/>
      <c r="CG69" s="314"/>
      <c r="CH69" s="314"/>
      <c r="CI69" s="314"/>
      <c r="CJ69" s="314"/>
      <c r="CK69" s="314"/>
      <c r="CL69" s="314"/>
      <c r="CM69" s="314"/>
      <c r="CN69" s="314"/>
      <c r="CO69" s="314"/>
      <c r="CP69" s="314"/>
      <c r="CQ69" s="314"/>
      <c r="CR69" s="314"/>
      <c r="CS69" s="314"/>
      <c r="CT69" s="314"/>
      <c r="CU69" s="314"/>
      <c r="CV69" s="314"/>
      <c r="CW69" s="314"/>
      <c r="CX69" s="314"/>
      <c r="CY69" s="314"/>
      <c r="CZ69" s="314"/>
      <c r="DA69" s="314"/>
      <c r="DB69" s="314"/>
      <c r="DC69" s="314"/>
      <c r="DD69" s="314"/>
      <c r="DE69" s="314"/>
      <c r="DF69" s="314"/>
      <c r="DG69" s="314"/>
      <c r="DH69" s="314"/>
      <c r="DI69" s="314"/>
      <c r="DJ69" s="314"/>
      <c r="DK69" s="314"/>
      <c r="DL69" s="314"/>
      <c r="DM69" s="314"/>
      <c r="DN69" s="314"/>
      <c r="DO69" s="314"/>
      <c r="DP69" s="314"/>
      <c r="DQ69" s="314"/>
      <c r="DR69" s="314"/>
      <c r="DS69" s="314"/>
      <c r="DT69" s="314"/>
      <c r="DU69" s="314"/>
      <c r="DV69" s="314"/>
      <c r="DW69" s="314"/>
      <c r="DX69" s="314"/>
      <c r="DY69" s="314"/>
      <c r="DZ69" s="314"/>
      <c r="EA69" s="314"/>
      <c r="EB69" s="314"/>
      <c r="EC69" s="314"/>
      <c r="ED69" s="314"/>
      <c r="EE69" s="314"/>
      <c r="EF69" s="314"/>
      <c r="EG69" s="314"/>
      <c r="EH69" s="314"/>
      <c r="EI69" s="314"/>
      <c r="EJ69" s="314"/>
      <c r="EK69" s="314"/>
      <c r="EL69" s="314"/>
      <c r="EM69" s="314"/>
      <c r="EN69" s="314"/>
      <c r="EO69" s="314"/>
      <c r="EP69" s="314"/>
      <c r="EQ69" s="314"/>
      <c r="ER69" s="314"/>
      <c r="ES69" s="314"/>
      <c r="ET69" s="314"/>
      <c r="EU69" s="314"/>
      <c r="EV69" s="314"/>
      <c r="EW69" s="314"/>
      <c r="EX69" s="314"/>
      <c r="EY69" s="314"/>
      <c r="EZ69" s="314"/>
      <c r="FA69" s="314"/>
      <c r="FB69" s="314"/>
      <c r="FC69" s="314"/>
      <c r="FD69" s="314"/>
      <c r="FE69" s="314"/>
      <c r="FF69" s="314"/>
      <c r="FG69" s="314"/>
      <c r="FH69" s="314"/>
      <c r="FI69" s="314"/>
      <c r="FJ69" s="314"/>
      <c r="FK69" s="314"/>
      <c r="FL69" s="314"/>
      <c r="FM69" s="314"/>
      <c r="FN69" s="314"/>
      <c r="FO69" s="314"/>
      <c r="FP69" s="314"/>
      <c r="FQ69" s="314"/>
      <c r="FR69" s="314"/>
      <c r="FS69" s="314"/>
      <c r="FT69" s="314"/>
      <c r="FU69" s="314"/>
      <c r="FV69" s="314"/>
      <c r="FW69" s="314"/>
      <c r="FX69" s="314"/>
      <c r="FY69" s="314"/>
      <c r="FZ69" s="314"/>
      <c r="GA69" s="314"/>
      <c r="GB69" s="314"/>
      <c r="GC69" s="314"/>
      <c r="GD69" s="314"/>
      <c r="GE69" s="314"/>
      <c r="GF69" s="314"/>
      <c r="GG69" s="314"/>
      <c r="GH69" s="314"/>
      <c r="GI69" s="314"/>
      <c r="GJ69" s="314"/>
      <c r="GK69" s="314"/>
      <c r="GL69" s="314"/>
      <c r="GM69" s="314"/>
      <c r="GN69" s="314"/>
      <c r="GO69" s="314"/>
      <c r="GP69" s="314"/>
      <c r="GQ69" s="314"/>
      <c r="GR69" s="314"/>
      <c r="GS69" s="314"/>
      <c r="GT69" s="314"/>
      <c r="GU69" s="314"/>
      <c r="GV69" s="314"/>
      <c r="GW69" s="314"/>
      <c r="GX69" s="314"/>
      <c r="GY69" s="314"/>
      <c r="GZ69" s="314"/>
      <c r="HA69" s="314"/>
      <c r="HB69" s="314"/>
      <c r="HC69" s="314"/>
      <c r="HD69" s="314"/>
      <c r="HE69" s="314"/>
      <c r="HF69" s="314"/>
      <c r="HG69" s="314"/>
      <c r="HH69" s="314"/>
      <c r="HI69" s="314"/>
      <c r="HJ69" s="314"/>
      <c r="HK69" s="314"/>
      <c r="HL69" s="314"/>
      <c r="HM69" s="314"/>
      <c r="HN69" s="314"/>
      <c r="HO69" s="314"/>
      <c r="HP69" s="314"/>
      <c r="HQ69" s="314"/>
      <c r="HR69" s="314"/>
      <c r="HS69" s="314"/>
      <c r="HT69" s="314"/>
      <c r="HU69" s="314"/>
      <c r="HV69" s="314"/>
      <c r="HW69" s="314"/>
      <c r="HX69" s="314"/>
      <c r="HY69" s="314"/>
      <c r="HZ69" s="314"/>
      <c r="IA69" s="314"/>
      <c r="IB69" s="314"/>
      <c r="IC69" s="314"/>
      <c r="ID69" s="314"/>
      <c r="IE69" s="314"/>
      <c r="IF69" s="314"/>
      <c r="IG69" s="314"/>
      <c r="IH69" s="314"/>
      <c r="II69" s="314"/>
      <c r="IJ69" s="314"/>
      <c r="IK69" s="314"/>
      <c r="IL69" s="314"/>
      <c r="IM69" s="314"/>
      <c r="IN69" s="314"/>
      <c r="IO69" s="314"/>
      <c r="IP69" s="314"/>
      <c r="IQ69" s="314"/>
      <c r="IR69" s="314"/>
      <c r="IS69" s="314"/>
      <c r="IT69" s="314"/>
      <c r="IU69" s="314"/>
      <c r="IV69" s="314"/>
      <c r="IW69" s="314"/>
    </row>
    <row r="70" customFormat="false" ht="12.75" hidden="false" customHeight="false" outlineLevel="0" collapsed="false">
      <c r="A70" s="346"/>
      <c r="B70" s="347"/>
      <c r="C70" s="328"/>
      <c r="D70" s="328"/>
      <c r="E70" s="348"/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348"/>
      <c r="V70" s="348"/>
      <c r="W70" s="348"/>
      <c r="X70" s="348"/>
      <c r="Y70" s="348"/>
      <c r="Z70" s="330"/>
      <c r="AA70" s="314"/>
      <c r="AB70" s="136" t="n">
        <f aca="false">AB69+1</f>
        <v>64</v>
      </c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14"/>
      <c r="BL70" s="314"/>
      <c r="BM70" s="314"/>
      <c r="BN70" s="314"/>
      <c r="BO70" s="314"/>
      <c r="BP70" s="314"/>
      <c r="BQ70" s="314"/>
      <c r="BR70" s="314"/>
      <c r="BS70" s="314"/>
      <c r="BT70" s="314"/>
      <c r="BU70" s="314"/>
      <c r="BV70" s="314"/>
      <c r="BW70" s="314"/>
      <c r="BX70" s="314"/>
      <c r="BY70" s="314"/>
      <c r="BZ70" s="314"/>
      <c r="CA70" s="314"/>
      <c r="CB70" s="314"/>
      <c r="CC70" s="314"/>
      <c r="CD70" s="314"/>
      <c r="CE70" s="314"/>
      <c r="CF70" s="314"/>
      <c r="CG70" s="314"/>
      <c r="CH70" s="314"/>
      <c r="CI70" s="314"/>
      <c r="CJ70" s="314"/>
      <c r="CK70" s="314"/>
      <c r="CL70" s="314"/>
      <c r="CM70" s="314"/>
      <c r="CN70" s="314"/>
      <c r="CO70" s="314"/>
      <c r="CP70" s="314"/>
      <c r="CQ70" s="314"/>
      <c r="CR70" s="314"/>
      <c r="CS70" s="314"/>
      <c r="CT70" s="314"/>
      <c r="CU70" s="314"/>
      <c r="CV70" s="314"/>
      <c r="CW70" s="314"/>
      <c r="CX70" s="314"/>
      <c r="CY70" s="314"/>
      <c r="CZ70" s="314"/>
      <c r="DA70" s="314"/>
      <c r="DB70" s="314"/>
      <c r="DC70" s="314"/>
      <c r="DD70" s="314"/>
      <c r="DE70" s="314"/>
      <c r="DF70" s="314"/>
      <c r="DG70" s="314"/>
      <c r="DH70" s="314"/>
      <c r="DI70" s="314"/>
      <c r="DJ70" s="314"/>
      <c r="DK70" s="314"/>
      <c r="DL70" s="314"/>
      <c r="DM70" s="314"/>
      <c r="DN70" s="314"/>
      <c r="DO70" s="314"/>
      <c r="DP70" s="314"/>
      <c r="DQ70" s="314"/>
      <c r="DR70" s="314"/>
      <c r="DS70" s="314"/>
      <c r="DT70" s="314"/>
      <c r="DU70" s="314"/>
      <c r="DV70" s="314"/>
      <c r="DW70" s="314"/>
      <c r="DX70" s="314"/>
      <c r="DY70" s="314"/>
      <c r="DZ70" s="314"/>
      <c r="EA70" s="314"/>
      <c r="EB70" s="314"/>
      <c r="EC70" s="314"/>
      <c r="ED70" s="314"/>
      <c r="EE70" s="314"/>
      <c r="EF70" s="314"/>
      <c r="EG70" s="314"/>
      <c r="EH70" s="314"/>
      <c r="EI70" s="314"/>
      <c r="EJ70" s="314"/>
      <c r="EK70" s="314"/>
      <c r="EL70" s="314"/>
      <c r="EM70" s="314"/>
      <c r="EN70" s="314"/>
      <c r="EO70" s="314"/>
      <c r="EP70" s="314"/>
      <c r="EQ70" s="314"/>
      <c r="ER70" s="314"/>
      <c r="ES70" s="314"/>
      <c r="ET70" s="314"/>
      <c r="EU70" s="314"/>
      <c r="EV70" s="314"/>
      <c r="EW70" s="314"/>
      <c r="EX70" s="314"/>
      <c r="EY70" s="314"/>
      <c r="EZ70" s="314"/>
      <c r="FA70" s="314"/>
      <c r="FB70" s="314"/>
      <c r="FC70" s="314"/>
      <c r="FD70" s="314"/>
      <c r="FE70" s="314"/>
      <c r="FF70" s="314"/>
      <c r="FG70" s="314"/>
      <c r="FH70" s="314"/>
      <c r="FI70" s="314"/>
      <c r="FJ70" s="314"/>
      <c r="FK70" s="314"/>
      <c r="FL70" s="314"/>
      <c r="FM70" s="314"/>
      <c r="FN70" s="314"/>
      <c r="FO70" s="314"/>
      <c r="FP70" s="314"/>
      <c r="FQ70" s="314"/>
      <c r="FR70" s="314"/>
      <c r="FS70" s="314"/>
      <c r="FT70" s="314"/>
      <c r="FU70" s="314"/>
      <c r="FV70" s="314"/>
      <c r="FW70" s="314"/>
      <c r="FX70" s="314"/>
      <c r="FY70" s="314"/>
      <c r="FZ70" s="314"/>
      <c r="GA70" s="314"/>
      <c r="GB70" s="314"/>
      <c r="GC70" s="314"/>
      <c r="GD70" s="314"/>
      <c r="GE70" s="314"/>
      <c r="GF70" s="314"/>
      <c r="GG70" s="314"/>
      <c r="GH70" s="314"/>
      <c r="GI70" s="314"/>
      <c r="GJ70" s="314"/>
      <c r="GK70" s="314"/>
      <c r="GL70" s="314"/>
      <c r="GM70" s="314"/>
      <c r="GN70" s="314"/>
      <c r="GO70" s="314"/>
      <c r="GP70" s="314"/>
      <c r="GQ70" s="314"/>
      <c r="GR70" s="314"/>
      <c r="GS70" s="314"/>
      <c r="GT70" s="314"/>
      <c r="GU70" s="314"/>
      <c r="GV70" s="314"/>
      <c r="GW70" s="314"/>
      <c r="GX70" s="314"/>
      <c r="GY70" s="314"/>
      <c r="GZ70" s="314"/>
      <c r="HA70" s="314"/>
      <c r="HB70" s="314"/>
      <c r="HC70" s="314"/>
      <c r="HD70" s="314"/>
      <c r="HE70" s="314"/>
      <c r="HF70" s="314"/>
      <c r="HG70" s="314"/>
      <c r="HH70" s="314"/>
      <c r="HI70" s="314"/>
      <c r="HJ70" s="314"/>
      <c r="HK70" s="314"/>
      <c r="HL70" s="314"/>
      <c r="HM70" s="314"/>
      <c r="HN70" s="314"/>
      <c r="HO70" s="314"/>
      <c r="HP70" s="314"/>
      <c r="HQ70" s="314"/>
      <c r="HR70" s="314"/>
      <c r="HS70" s="314"/>
      <c r="HT70" s="314"/>
      <c r="HU70" s="314"/>
      <c r="HV70" s="314"/>
      <c r="HW70" s="314"/>
      <c r="HX70" s="314"/>
      <c r="HY70" s="314"/>
      <c r="HZ70" s="314"/>
      <c r="IA70" s="314"/>
      <c r="IB70" s="314"/>
      <c r="IC70" s="314"/>
      <c r="ID70" s="314"/>
      <c r="IE70" s="314"/>
      <c r="IF70" s="314"/>
      <c r="IG70" s="314"/>
      <c r="IH70" s="314"/>
      <c r="II70" s="314"/>
      <c r="IJ70" s="314"/>
      <c r="IK70" s="314"/>
      <c r="IL70" s="314"/>
      <c r="IM70" s="314"/>
      <c r="IN70" s="314"/>
      <c r="IO70" s="314"/>
      <c r="IP70" s="314"/>
      <c r="IQ70" s="314"/>
      <c r="IR70" s="314"/>
      <c r="IS70" s="314"/>
      <c r="IT70" s="314"/>
      <c r="IU70" s="314"/>
      <c r="IV70" s="314"/>
      <c r="IW70" s="314"/>
    </row>
    <row r="71" customFormat="false" ht="12.75" hidden="false" customHeight="false" outlineLevel="0" collapsed="false">
      <c r="A71" s="342"/>
      <c r="B71" s="343" t="s">
        <v>364</v>
      </c>
      <c r="C71" s="314"/>
      <c r="D71" s="314"/>
      <c r="E71" s="316" t="n">
        <f aca="false">-'Debt Amort'!E21</f>
        <v>-0</v>
      </c>
      <c r="F71" s="316" t="n">
        <f aca="false">-'Debt Amort'!F21</f>
        <v>-0</v>
      </c>
      <c r="G71" s="316" t="n">
        <f aca="false">-'Debt Amort'!G21</f>
        <v>-0</v>
      </c>
      <c r="H71" s="316" t="n">
        <f aca="false">-'Debt Amort'!H21</f>
        <v>-962.707768365441</v>
      </c>
      <c r="I71" s="316" t="n">
        <f aca="false">-'Debt Amort'!I21</f>
        <v>-1091.92721857429</v>
      </c>
      <c r="J71" s="316" t="n">
        <f aca="false">-'Debt Amort'!J21</f>
        <v>-1238.49114948743</v>
      </c>
      <c r="K71" s="316" t="n">
        <f aca="false">-'Debt Amort'!K21</f>
        <v>-1404.72762402738</v>
      </c>
      <c r="L71" s="316" t="n">
        <f aca="false">-'Debt Amort'!L21</f>
        <v>-1593.27718936245</v>
      </c>
      <c r="M71" s="316" t="n">
        <f aca="false">-'Debt Amort'!M21</f>
        <v>-1807.13482010463</v>
      </c>
      <c r="N71" s="316" t="n">
        <f aca="false">-'Debt Amort'!N21</f>
        <v>-2049.69749133317</v>
      </c>
      <c r="O71" s="316" t="n">
        <f aca="false">-'Debt Amort'!O21</f>
        <v>-2324.81813710736</v>
      </c>
      <c r="P71" s="316" t="n">
        <f aca="false">-'Debt Amort'!P21</f>
        <v>-2636.8668515606</v>
      </c>
      <c r="Q71" s="316" t="n">
        <f aca="false">-'Debt Amort'!Q21</f>
        <v>-2990.80030471132</v>
      </c>
      <c r="R71" s="316" t="n">
        <f aca="false">-'Debt Amort'!R21</f>
        <v>-3392.2404756112</v>
      </c>
      <c r="S71" s="316" t="n">
        <f aca="false">-'Debt Amort'!S21</f>
        <v>-0</v>
      </c>
      <c r="T71" s="316" t="n">
        <f aca="false">-'Debt Amort'!T21</f>
        <v>-0</v>
      </c>
      <c r="U71" s="316" t="n">
        <f aca="false">-'Debt Amort'!U21</f>
        <v>-0</v>
      </c>
      <c r="V71" s="316" t="n">
        <f aca="false">-'Debt Amort'!V21</f>
        <v>-0</v>
      </c>
      <c r="W71" s="316" t="n">
        <f aca="false">-'Debt Amort'!W21</f>
        <v>-0</v>
      </c>
      <c r="X71" s="316" t="n">
        <f aca="false">-'Debt Amort'!X21</f>
        <v>-0</v>
      </c>
      <c r="Y71" s="316" t="n">
        <f aca="false">-'Debt Amort'!Y21</f>
        <v>-0</v>
      </c>
      <c r="Z71" s="317" t="n">
        <f aca="false">SUM(E71:Y71)</f>
        <v>-21492.6890302453</v>
      </c>
      <c r="AA71" s="314"/>
      <c r="AB71" s="136" t="n">
        <f aca="false">AB70+1</f>
        <v>65</v>
      </c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4"/>
      <c r="AZ71" s="31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14"/>
      <c r="BL71" s="314"/>
      <c r="BM71" s="314"/>
      <c r="BN71" s="314"/>
      <c r="BO71" s="314"/>
      <c r="BP71" s="314"/>
      <c r="BQ71" s="314"/>
      <c r="BR71" s="314"/>
      <c r="BS71" s="314"/>
      <c r="BT71" s="314"/>
      <c r="BU71" s="314"/>
      <c r="BV71" s="314"/>
      <c r="BW71" s="314"/>
      <c r="BX71" s="314"/>
      <c r="BY71" s="314"/>
      <c r="BZ71" s="314"/>
      <c r="CA71" s="314"/>
      <c r="CB71" s="314"/>
      <c r="CC71" s="314"/>
      <c r="CD71" s="314"/>
      <c r="CE71" s="314"/>
      <c r="CF71" s="314"/>
      <c r="CG71" s="314"/>
      <c r="CH71" s="314"/>
      <c r="CI71" s="314"/>
      <c r="CJ71" s="314"/>
      <c r="CK71" s="314"/>
      <c r="CL71" s="314"/>
      <c r="CM71" s="314"/>
      <c r="CN71" s="314"/>
      <c r="CO71" s="314"/>
      <c r="CP71" s="314"/>
      <c r="CQ71" s="314"/>
      <c r="CR71" s="314"/>
      <c r="CS71" s="314"/>
      <c r="CT71" s="314"/>
      <c r="CU71" s="314"/>
      <c r="CV71" s="314"/>
      <c r="CW71" s="314"/>
      <c r="CX71" s="314"/>
      <c r="CY71" s="314"/>
      <c r="CZ71" s="314"/>
      <c r="DA71" s="314"/>
      <c r="DB71" s="314"/>
      <c r="DC71" s="314"/>
      <c r="DD71" s="314"/>
      <c r="DE71" s="314"/>
      <c r="DF71" s="314"/>
      <c r="DG71" s="314"/>
      <c r="DH71" s="314"/>
      <c r="DI71" s="314"/>
      <c r="DJ71" s="314"/>
      <c r="DK71" s="314"/>
      <c r="DL71" s="314"/>
      <c r="DM71" s="314"/>
      <c r="DN71" s="314"/>
      <c r="DO71" s="314"/>
      <c r="DP71" s="314"/>
      <c r="DQ71" s="314"/>
      <c r="DR71" s="314"/>
      <c r="DS71" s="314"/>
      <c r="DT71" s="314"/>
      <c r="DU71" s="314"/>
      <c r="DV71" s="314"/>
      <c r="DW71" s="314"/>
      <c r="DX71" s="314"/>
      <c r="DY71" s="314"/>
      <c r="DZ71" s="314"/>
      <c r="EA71" s="314"/>
      <c r="EB71" s="314"/>
      <c r="EC71" s="314"/>
      <c r="ED71" s="314"/>
      <c r="EE71" s="314"/>
      <c r="EF71" s="314"/>
      <c r="EG71" s="314"/>
      <c r="EH71" s="314"/>
      <c r="EI71" s="314"/>
      <c r="EJ71" s="314"/>
      <c r="EK71" s="314"/>
      <c r="EL71" s="314"/>
      <c r="EM71" s="314"/>
      <c r="EN71" s="314"/>
      <c r="EO71" s="314"/>
      <c r="EP71" s="314"/>
      <c r="EQ71" s="314"/>
      <c r="ER71" s="314"/>
      <c r="ES71" s="314"/>
      <c r="ET71" s="314"/>
      <c r="EU71" s="314"/>
      <c r="EV71" s="314"/>
      <c r="EW71" s="314"/>
      <c r="EX71" s="314"/>
      <c r="EY71" s="314"/>
      <c r="EZ71" s="314"/>
      <c r="FA71" s="314"/>
      <c r="FB71" s="314"/>
      <c r="FC71" s="314"/>
      <c r="FD71" s="314"/>
      <c r="FE71" s="314"/>
      <c r="FF71" s="314"/>
      <c r="FG71" s="314"/>
      <c r="FH71" s="314"/>
      <c r="FI71" s="314"/>
      <c r="FJ71" s="314"/>
      <c r="FK71" s="314"/>
      <c r="FL71" s="314"/>
      <c r="FM71" s="314"/>
      <c r="FN71" s="314"/>
      <c r="FO71" s="314"/>
      <c r="FP71" s="314"/>
      <c r="FQ71" s="314"/>
      <c r="FR71" s="314"/>
      <c r="FS71" s="314"/>
      <c r="FT71" s="314"/>
      <c r="FU71" s="314"/>
      <c r="FV71" s="314"/>
      <c r="FW71" s="314"/>
      <c r="FX71" s="314"/>
      <c r="FY71" s="314"/>
      <c r="FZ71" s="314"/>
      <c r="GA71" s="314"/>
      <c r="GB71" s="314"/>
      <c r="GC71" s="314"/>
      <c r="GD71" s="314"/>
      <c r="GE71" s="314"/>
      <c r="GF71" s="314"/>
      <c r="GG71" s="314"/>
      <c r="GH71" s="314"/>
      <c r="GI71" s="314"/>
      <c r="GJ71" s="314"/>
      <c r="GK71" s="314"/>
      <c r="GL71" s="314"/>
      <c r="GM71" s="314"/>
      <c r="GN71" s="314"/>
      <c r="GO71" s="314"/>
      <c r="GP71" s="314"/>
      <c r="GQ71" s="314"/>
      <c r="GR71" s="314"/>
      <c r="GS71" s="314"/>
      <c r="GT71" s="314"/>
      <c r="GU71" s="314"/>
      <c r="GV71" s="314"/>
      <c r="GW71" s="314"/>
      <c r="GX71" s="314"/>
      <c r="GY71" s="314"/>
      <c r="GZ71" s="314"/>
      <c r="HA71" s="314"/>
      <c r="HB71" s="314"/>
      <c r="HC71" s="314"/>
      <c r="HD71" s="314"/>
      <c r="HE71" s="314"/>
      <c r="HF71" s="314"/>
      <c r="HG71" s="314"/>
      <c r="HH71" s="314"/>
      <c r="HI71" s="314"/>
      <c r="HJ71" s="314"/>
      <c r="HK71" s="314"/>
      <c r="HL71" s="314"/>
      <c r="HM71" s="314"/>
      <c r="HN71" s="314"/>
      <c r="HO71" s="314"/>
      <c r="HP71" s="314"/>
      <c r="HQ71" s="314"/>
      <c r="HR71" s="314"/>
      <c r="HS71" s="314"/>
      <c r="HT71" s="314"/>
      <c r="HU71" s="314"/>
      <c r="HV71" s="314"/>
      <c r="HW71" s="314"/>
      <c r="HX71" s="314"/>
      <c r="HY71" s="314"/>
      <c r="HZ71" s="314"/>
      <c r="IA71" s="314"/>
      <c r="IB71" s="314"/>
      <c r="IC71" s="314"/>
      <c r="ID71" s="314"/>
      <c r="IE71" s="314"/>
      <c r="IF71" s="314"/>
      <c r="IG71" s="314"/>
      <c r="IH71" s="314"/>
      <c r="II71" s="314"/>
      <c r="IJ71" s="314"/>
      <c r="IK71" s="314"/>
      <c r="IL71" s="314"/>
      <c r="IM71" s="314"/>
      <c r="IN71" s="314"/>
      <c r="IO71" s="314"/>
      <c r="IP71" s="314"/>
      <c r="IQ71" s="314"/>
      <c r="IR71" s="314"/>
      <c r="IS71" s="314"/>
      <c r="IT71" s="314"/>
      <c r="IU71" s="314"/>
      <c r="IV71" s="314"/>
      <c r="IW71" s="314"/>
    </row>
    <row r="72" customFormat="false" ht="12.75" hidden="false" customHeight="false" outlineLevel="0" collapsed="false">
      <c r="A72" s="346"/>
      <c r="B72" s="347"/>
      <c r="C72" s="328"/>
      <c r="D72" s="328"/>
      <c r="E72" s="348"/>
      <c r="F72" s="348"/>
      <c r="G72" s="348"/>
      <c r="H72" s="348"/>
      <c r="I72" s="348"/>
      <c r="J72" s="348"/>
      <c r="K72" s="348"/>
      <c r="L72" s="348"/>
      <c r="M72" s="348"/>
      <c r="N72" s="348"/>
      <c r="O72" s="348"/>
      <c r="P72" s="348"/>
      <c r="Q72" s="348"/>
      <c r="R72" s="348"/>
      <c r="S72" s="348"/>
      <c r="T72" s="348"/>
      <c r="U72" s="348"/>
      <c r="V72" s="348"/>
      <c r="W72" s="348"/>
      <c r="X72" s="348"/>
      <c r="Y72" s="348"/>
      <c r="Z72" s="330"/>
      <c r="AA72" s="314"/>
      <c r="AB72" s="136" t="n">
        <f aca="false">AB71+1</f>
        <v>66</v>
      </c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4"/>
      <c r="AZ72" s="31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14"/>
      <c r="BL72" s="314"/>
      <c r="BM72" s="314"/>
      <c r="BN72" s="314"/>
      <c r="BO72" s="314"/>
      <c r="BP72" s="314"/>
      <c r="BQ72" s="314"/>
      <c r="BR72" s="314"/>
      <c r="BS72" s="314"/>
      <c r="BT72" s="314"/>
      <c r="BU72" s="314"/>
      <c r="BV72" s="314"/>
      <c r="BW72" s="314"/>
      <c r="BX72" s="314"/>
      <c r="BY72" s="314"/>
      <c r="BZ72" s="314"/>
      <c r="CA72" s="314"/>
      <c r="CB72" s="314"/>
      <c r="CC72" s="314"/>
      <c r="CD72" s="314"/>
      <c r="CE72" s="314"/>
      <c r="CF72" s="314"/>
      <c r="CG72" s="314"/>
      <c r="CH72" s="314"/>
      <c r="CI72" s="314"/>
      <c r="CJ72" s="314"/>
      <c r="CK72" s="314"/>
      <c r="CL72" s="314"/>
      <c r="CM72" s="314"/>
      <c r="CN72" s="314"/>
      <c r="CO72" s="314"/>
      <c r="CP72" s="314"/>
      <c r="CQ72" s="314"/>
      <c r="CR72" s="314"/>
      <c r="CS72" s="314"/>
      <c r="CT72" s="314"/>
      <c r="CU72" s="314"/>
      <c r="CV72" s="314"/>
      <c r="CW72" s="314"/>
      <c r="CX72" s="314"/>
      <c r="CY72" s="314"/>
      <c r="CZ72" s="314"/>
      <c r="DA72" s="314"/>
      <c r="DB72" s="314"/>
      <c r="DC72" s="314"/>
      <c r="DD72" s="314"/>
      <c r="DE72" s="314"/>
      <c r="DF72" s="314"/>
      <c r="DG72" s="314"/>
      <c r="DH72" s="314"/>
      <c r="DI72" s="314"/>
      <c r="DJ72" s="314"/>
      <c r="DK72" s="314"/>
      <c r="DL72" s="314"/>
      <c r="DM72" s="314"/>
      <c r="DN72" s="314"/>
      <c r="DO72" s="314"/>
      <c r="DP72" s="314"/>
      <c r="DQ72" s="314"/>
      <c r="DR72" s="314"/>
      <c r="DS72" s="314"/>
      <c r="DT72" s="314"/>
      <c r="DU72" s="314"/>
      <c r="DV72" s="314"/>
      <c r="DW72" s="314"/>
      <c r="DX72" s="314"/>
      <c r="DY72" s="314"/>
      <c r="DZ72" s="314"/>
      <c r="EA72" s="314"/>
      <c r="EB72" s="314"/>
      <c r="EC72" s="314"/>
      <c r="ED72" s="314"/>
      <c r="EE72" s="314"/>
      <c r="EF72" s="314"/>
      <c r="EG72" s="314"/>
      <c r="EH72" s="314"/>
      <c r="EI72" s="314"/>
      <c r="EJ72" s="314"/>
      <c r="EK72" s="314"/>
      <c r="EL72" s="314"/>
      <c r="EM72" s="314"/>
      <c r="EN72" s="314"/>
      <c r="EO72" s="314"/>
      <c r="EP72" s="314"/>
      <c r="EQ72" s="314"/>
      <c r="ER72" s="314"/>
      <c r="ES72" s="314"/>
      <c r="ET72" s="314"/>
      <c r="EU72" s="314"/>
      <c r="EV72" s="314"/>
      <c r="EW72" s="314"/>
      <c r="EX72" s="314"/>
      <c r="EY72" s="314"/>
      <c r="EZ72" s="314"/>
      <c r="FA72" s="314"/>
      <c r="FB72" s="314"/>
      <c r="FC72" s="314"/>
      <c r="FD72" s="314"/>
      <c r="FE72" s="314"/>
      <c r="FF72" s="314"/>
      <c r="FG72" s="314"/>
      <c r="FH72" s="314"/>
      <c r="FI72" s="314"/>
      <c r="FJ72" s="314"/>
      <c r="FK72" s="314"/>
      <c r="FL72" s="314"/>
      <c r="FM72" s="314"/>
      <c r="FN72" s="314"/>
      <c r="FO72" s="314"/>
      <c r="FP72" s="314"/>
      <c r="FQ72" s="314"/>
      <c r="FR72" s="314"/>
      <c r="FS72" s="314"/>
      <c r="FT72" s="314"/>
      <c r="FU72" s="314"/>
      <c r="FV72" s="314"/>
      <c r="FW72" s="314"/>
      <c r="FX72" s="314"/>
      <c r="FY72" s="314"/>
      <c r="FZ72" s="314"/>
      <c r="GA72" s="314"/>
      <c r="GB72" s="314"/>
      <c r="GC72" s="314"/>
      <c r="GD72" s="314"/>
      <c r="GE72" s="314"/>
      <c r="GF72" s="314"/>
      <c r="GG72" s="314"/>
      <c r="GH72" s="314"/>
      <c r="GI72" s="314"/>
      <c r="GJ72" s="314"/>
      <c r="GK72" s="314"/>
      <c r="GL72" s="314"/>
      <c r="GM72" s="314"/>
      <c r="GN72" s="314"/>
      <c r="GO72" s="314"/>
      <c r="GP72" s="314"/>
      <c r="GQ72" s="314"/>
      <c r="GR72" s="314"/>
      <c r="GS72" s="314"/>
      <c r="GT72" s="314"/>
      <c r="GU72" s="314"/>
      <c r="GV72" s="314"/>
      <c r="GW72" s="314"/>
      <c r="GX72" s="314"/>
      <c r="GY72" s="314"/>
      <c r="GZ72" s="314"/>
      <c r="HA72" s="314"/>
      <c r="HB72" s="314"/>
      <c r="HC72" s="314"/>
      <c r="HD72" s="314"/>
      <c r="HE72" s="314"/>
      <c r="HF72" s="314"/>
      <c r="HG72" s="314"/>
      <c r="HH72" s="314"/>
      <c r="HI72" s="314"/>
      <c r="HJ72" s="314"/>
      <c r="HK72" s="314"/>
      <c r="HL72" s="314"/>
      <c r="HM72" s="314"/>
      <c r="HN72" s="314"/>
      <c r="HO72" s="314"/>
      <c r="HP72" s="314"/>
      <c r="HQ72" s="314"/>
      <c r="HR72" s="314"/>
      <c r="HS72" s="314"/>
      <c r="HT72" s="314"/>
      <c r="HU72" s="314"/>
      <c r="HV72" s="314"/>
      <c r="HW72" s="314"/>
      <c r="HX72" s="314"/>
      <c r="HY72" s="314"/>
      <c r="HZ72" s="314"/>
      <c r="IA72" s="314"/>
      <c r="IB72" s="314"/>
      <c r="IC72" s="314"/>
      <c r="ID72" s="314"/>
      <c r="IE72" s="314"/>
      <c r="IF72" s="314"/>
      <c r="IG72" s="314"/>
      <c r="IH72" s="314"/>
      <c r="II72" s="314"/>
      <c r="IJ72" s="314"/>
      <c r="IK72" s="314"/>
      <c r="IL72" s="314"/>
      <c r="IM72" s="314"/>
      <c r="IN72" s="314"/>
      <c r="IO72" s="314"/>
      <c r="IP72" s="314"/>
      <c r="IQ72" s="314"/>
      <c r="IR72" s="314"/>
      <c r="IS72" s="314"/>
      <c r="IT72" s="314"/>
      <c r="IU72" s="314"/>
      <c r="IV72" s="314"/>
      <c r="IW72" s="314"/>
    </row>
    <row r="73" customFormat="false" ht="12.75" hidden="false" customHeight="false" outlineLevel="0" collapsed="false">
      <c r="A73" s="333" t="s">
        <v>365</v>
      </c>
      <c r="B73" s="334"/>
      <c r="C73" s="334"/>
      <c r="D73" s="334"/>
      <c r="E73" s="335" t="n">
        <f aca="false">SUM(E69:E72)</f>
        <v>0</v>
      </c>
      <c r="F73" s="335" t="n">
        <f aca="false">SUM(F69:F72)</f>
        <v>0</v>
      </c>
      <c r="G73" s="335" t="n">
        <f aca="false">SUM(G69:G72)</f>
        <v>417.210678711196</v>
      </c>
      <c r="H73" s="335" t="n">
        <f aca="false">SUM(H69:H72)</f>
        <v>-5093.30482979046</v>
      </c>
      <c r="I73" s="335" t="n">
        <f aca="false">SUM(I69:I72)</f>
        <v>-6188.13937756332</v>
      </c>
      <c r="J73" s="335" t="n">
        <f aca="false">SUM(J69:J72)</f>
        <v>-4949.2006012693</v>
      </c>
      <c r="K73" s="335" t="n">
        <f aca="false">SUM(K69:K72)</f>
        <v>-5319.40289573351</v>
      </c>
      <c r="L73" s="335" t="n">
        <f aca="false">SUM(L69:L72)</f>
        <v>-5427.61159749414</v>
      </c>
      <c r="M73" s="335" t="n">
        <f aca="false">SUM(M69:M72)</f>
        <v>-5050.28824629369</v>
      </c>
      <c r="N73" s="335" t="n">
        <f aca="false">SUM(N69:N72)</f>
        <v>-1793.90530618424</v>
      </c>
      <c r="O73" s="335" t="n">
        <f aca="false">SUM(O69:O72)</f>
        <v>901.862069445762</v>
      </c>
      <c r="P73" s="335" t="n">
        <f aca="false">SUM(P69:P72)</f>
        <v>1398.83989883108</v>
      </c>
      <c r="Q73" s="335" t="n">
        <f aca="false">SUM(Q69:Q72)</f>
        <v>1038.37916847248</v>
      </c>
      <c r="R73" s="335" t="n">
        <f aca="false">SUM(R69:R72)</f>
        <v>701.711656224285</v>
      </c>
      <c r="S73" s="335" t="n">
        <f aca="false">SUM(S69:S72)</f>
        <v>3964.07730633029</v>
      </c>
      <c r="T73" s="335" t="n">
        <f aca="false">SUM(T69:T72)</f>
        <v>5180.99532058638</v>
      </c>
      <c r="U73" s="335" t="n">
        <f aca="false">SUM(U69:U72)</f>
        <v>7805.10646010131</v>
      </c>
      <c r="V73" s="335" t="n">
        <f aca="false">SUM(V69:V72)</f>
        <v>13040.7608961221</v>
      </c>
      <c r="W73" s="335" t="n">
        <f aca="false">SUM(W69:W72)</f>
        <v>13367.4854220048</v>
      </c>
      <c r="X73" s="335" t="n">
        <f aca="false">SUM(X69:X72)</f>
        <v>13901.9690977088</v>
      </c>
      <c r="Y73" s="335" t="n">
        <f aca="false">SUM(Y69:Y72)</f>
        <v>4342.186990243</v>
      </c>
      <c r="Z73" s="336" t="n">
        <f aca="false">SUM(E73:Y73)</f>
        <v>32238.7321104528</v>
      </c>
      <c r="AA73" s="314"/>
      <c r="AB73" s="136" t="n">
        <f aca="false">AB72+1</f>
        <v>67</v>
      </c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4"/>
      <c r="AZ73" s="31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14"/>
      <c r="BL73" s="314"/>
      <c r="BM73" s="314"/>
      <c r="BN73" s="314"/>
      <c r="BO73" s="314"/>
      <c r="BP73" s="314"/>
      <c r="BQ73" s="314"/>
      <c r="BR73" s="314"/>
      <c r="BS73" s="314"/>
      <c r="BT73" s="314"/>
      <c r="BU73" s="314"/>
      <c r="BV73" s="314"/>
      <c r="BW73" s="314"/>
      <c r="BX73" s="314"/>
      <c r="BY73" s="314"/>
      <c r="BZ73" s="314"/>
      <c r="CA73" s="314"/>
      <c r="CB73" s="314"/>
      <c r="CC73" s="314"/>
      <c r="CD73" s="314"/>
      <c r="CE73" s="314"/>
      <c r="CF73" s="314"/>
      <c r="CG73" s="314"/>
      <c r="CH73" s="314"/>
      <c r="CI73" s="314"/>
      <c r="CJ73" s="314"/>
      <c r="CK73" s="314"/>
      <c r="CL73" s="314"/>
      <c r="CM73" s="314"/>
      <c r="CN73" s="314"/>
      <c r="CO73" s="314"/>
      <c r="CP73" s="314"/>
      <c r="CQ73" s="314"/>
      <c r="CR73" s="314"/>
      <c r="CS73" s="314"/>
      <c r="CT73" s="314"/>
      <c r="CU73" s="314"/>
      <c r="CV73" s="314"/>
      <c r="CW73" s="314"/>
      <c r="CX73" s="314"/>
      <c r="CY73" s="314"/>
      <c r="CZ73" s="314"/>
      <c r="DA73" s="314"/>
      <c r="DB73" s="314"/>
      <c r="DC73" s="314"/>
      <c r="DD73" s="314"/>
      <c r="DE73" s="314"/>
      <c r="DF73" s="314"/>
      <c r="DG73" s="314"/>
      <c r="DH73" s="314"/>
      <c r="DI73" s="314"/>
      <c r="DJ73" s="314"/>
      <c r="DK73" s="314"/>
      <c r="DL73" s="314"/>
      <c r="DM73" s="314"/>
      <c r="DN73" s="314"/>
      <c r="DO73" s="314"/>
      <c r="DP73" s="314"/>
      <c r="DQ73" s="314"/>
      <c r="DR73" s="314"/>
      <c r="DS73" s="314"/>
      <c r="DT73" s="314"/>
      <c r="DU73" s="314"/>
      <c r="DV73" s="314"/>
      <c r="DW73" s="314"/>
      <c r="DX73" s="314"/>
      <c r="DY73" s="314"/>
      <c r="DZ73" s="314"/>
      <c r="EA73" s="314"/>
      <c r="EB73" s="314"/>
      <c r="EC73" s="314"/>
      <c r="ED73" s="314"/>
      <c r="EE73" s="314"/>
      <c r="EF73" s="314"/>
      <c r="EG73" s="314"/>
      <c r="EH73" s="314"/>
      <c r="EI73" s="314"/>
      <c r="EJ73" s="314"/>
      <c r="EK73" s="314"/>
      <c r="EL73" s="314"/>
      <c r="EM73" s="314"/>
      <c r="EN73" s="314"/>
      <c r="EO73" s="314"/>
      <c r="EP73" s="314"/>
      <c r="EQ73" s="314"/>
      <c r="ER73" s="314"/>
      <c r="ES73" s="314"/>
      <c r="ET73" s="314"/>
      <c r="EU73" s="314"/>
      <c r="EV73" s="314"/>
      <c r="EW73" s="314"/>
      <c r="EX73" s="314"/>
      <c r="EY73" s="314"/>
      <c r="EZ73" s="314"/>
      <c r="FA73" s="314"/>
      <c r="FB73" s="314"/>
      <c r="FC73" s="314"/>
      <c r="FD73" s="314"/>
      <c r="FE73" s="314"/>
      <c r="FF73" s="314"/>
      <c r="FG73" s="314"/>
      <c r="FH73" s="314"/>
      <c r="FI73" s="314"/>
      <c r="FJ73" s="314"/>
      <c r="FK73" s="314"/>
      <c r="FL73" s="314"/>
      <c r="FM73" s="314"/>
      <c r="FN73" s="314"/>
      <c r="FO73" s="314"/>
      <c r="FP73" s="314"/>
      <c r="FQ73" s="314"/>
      <c r="FR73" s="314"/>
      <c r="FS73" s="314"/>
      <c r="FT73" s="314"/>
      <c r="FU73" s="314"/>
      <c r="FV73" s="314"/>
      <c r="FW73" s="314"/>
      <c r="FX73" s="314"/>
      <c r="FY73" s="314"/>
      <c r="FZ73" s="314"/>
      <c r="GA73" s="314"/>
      <c r="GB73" s="314"/>
      <c r="GC73" s="314"/>
      <c r="GD73" s="314"/>
      <c r="GE73" s="314"/>
      <c r="GF73" s="314"/>
      <c r="GG73" s="314"/>
      <c r="GH73" s="314"/>
      <c r="GI73" s="314"/>
      <c r="GJ73" s="314"/>
      <c r="GK73" s="314"/>
      <c r="GL73" s="314"/>
      <c r="GM73" s="314"/>
      <c r="GN73" s="314"/>
      <c r="GO73" s="314"/>
      <c r="GP73" s="314"/>
      <c r="GQ73" s="314"/>
      <c r="GR73" s="314"/>
      <c r="GS73" s="314"/>
      <c r="GT73" s="314"/>
      <c r="GU73" s="314"/>
      <c r="GV73" s="314"/>
      <c r="GW73" s="314"/>
      <c r="GX73" s="314"/>
      <c r="GY73" s="314"/>
      <c r="GZ73" s="314"/>
      <c r="HA73" s="314"/>
      <c r="HB73" s="314"/>
      <c r="HC73" s="314"/>
      <c r="HD73" s="314"/>
      <c r="HE73" s="314"/>
      <c r="HF73" s="314"/>
      <c r="HG73" s="314"/>
      <c r="HH73" s="314"/>
      <c r="HI73" s="314"/>
      <c r="HJ73" s="314"/>
      <c r="HK73" s="314"/>
      <c r="HL73" s="314"/>
      <c r="HM73" s="314"/>
      <c r="HN73" s="314"/>
      <c r="HO73" s="314"/>
      <c r="HP73" s="314"/>
      <c r="HQ73" s="314"/>
      <c r="HR73" s="314"/>
      <c r="HS73" s="314"/>
      <c r="HT73" s="314"/>
      <c r="HU73" s="314"/>
      <c r="HV73" s="314"/>
      <c r="HW73" s="314"/>
      <c r="HX73" s="314"/>
      <c r="HY73" s="314"/>
      <c r="HZ73" s="314"/>
      <c r="IA73" s="314"/>
      <c r="IB73" s="314"/>
      <c r="IC73" s="314"/>
      <c r="ID73" s="314"/>
      <c r="IE73" s="314"/>
      <c r="IF73" s="314"/>
      <c r="IG73" s="314"/>
      <c r="IH73" s="314"/>
      <c r="II73" s="314"/>
      <c r="IJ73" s="314"/>
      <c r="IK73" s="314"/>
      <c r="IL73" s="314"/>
      <c r="IM73" s="314"/>
      <c r="IN73" s="314"/>
      <c r="IO73" s="314"/>
      <c r="IP73" s="314"/>
      <c r="IQ73" s="314"/>
      <c r="IR73" s="314"/>
      <c r="IS73" s="314"/>
      <c r="IT73" s="314"/>
      <c r="IU73" s="314"/>
      <c r="IV73" s="314"/>
      <c r="IW73" s="314"/>
    </row>
    <row r="74" customFormat="false" ht="12.75" hidden="false" customHeight="false" outlineLevel="0" collapsed="false">
      <c r="A74" s="346"/>
      <c r="B74" s="347"/>
      <c r="C74" s="328"/>
      <c r="D74" s="328"/>
      <c r="E74" s="348"/>
      <c r="F74" s="348"/>
      <c r="G74" s="348"/>
      <c r="H74" s="348"/>
      <c r="I74" s="348"/>
      <c r="J74" s="348"/>
      <c r="K74" s="348"/>
      <c r="L74" s="348"/>
      <c r="M74" s="348"/>
      <c r="N74" s="348"/>
      <c r="O74" s="348"/>
      <c r="P74" s="348"/>
      <c r="Q74" s="348"/>
      <c r="R74" s="348"/>
      <c r="S74" s="348"/>
      <c r="T74" s="348"/>
      <c r="U74" s="348"/>
      <c r="V74" s="348"/>
      <c r="W74" s="348"/>
      <c r="X74" s="348"/>
      <c r="Y74" s="348"/>
      <c r="Z74" s="330"/>
      <c r="AA74" s="314"/>
      <c r="AB74" s="136" t="n">
        <f aca="false">AB73+1</f>
        <v>68</v>
      </c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4"/>
      <c r="BZ74" s="314"/>
      <c r="CA74" s="314"/>
      <c r="CB74" s="314"/>
      <c r="CC74" s="314"/>
      <c r="CD74" s="314"/>
      <c r="CE74" s="314"/>
      <c r="CF74" s="314"/>
      <c r="CG74" s="314"/>
      <c r="CH74" s="314"/>
      <c r="CI74" s="314"/>
      <c r="CJ74" s="314"/>
      <c r="CK74" s="314"/>
      <c r="CL74" s="314"/>
      <c r="CM74" s="314"/>
      <c r="CN74" s="314"/>
      <c r="CO74" s="314"/>
      <c r="CP74" s="314"/>
      <c r="CQ74" s="314"/>
      <c r="CR74" s="314"/>
      <c r="CS74" s="314"/>
      <c r="CT74" s="314"/>
      <c r="CU74" s="314"/>
      <c r="CV74" s="314"/>
      <c r="CW74" s="314"/>
      <c r="CX74" s="314"/>
      <c r="CY74" s="314"/>
      <c r="CZ74" s="314"/>
      <c r="DA74" s="314"/>
      <c r="DB74" s="314"/>
      <c r="DC74" s="314"/>
      <c r="DD74" s="314"/>
      <c r="DE74" s="314"/>
      <c r="DF74" s="314"/>
      <c r="DG74" s="314"/>
      <c r="DH74" s="314"/>
      <c r="DI74" s="314"/>
      <c r="DJ74" s="314"/>
      <c r="DK74" s="314"/>
      <c r="DL74" s="314"/>
      <c r="DM74" s="314"/>
      <c r="DN74" s="314"/>
      <c r="DO74" s="314"/>
      <c r="DP74" s="314"/>
      <c r="DQ74" s="314"/>
      <c r="DR74" s="314"/>
      <c r="DS74" s="314"/>
      <c r="DT74" s="314"/>
      <c r="DU74" s="314"/>
      <c r="DV74" s="314"/>
      <c r="DW74" s="314"/>
      <c r="DX74" s="314"/>
      <c r="DY74" s="314"/>
      <c r="DZ74" s="314"/>
      <c r="EA74" s="314"/>
      <c r="EB74" s="314"/>
      <c r="EC74" s="314"/>
      <c r="ED74" s="314"/>
      <c r="EE74" s="314"/>
      <c r="EF74" s="314"/>
      <c r="EG74" s="314"/>
      <c r="EH74" s="314"/>
      <c r="EI74" s="314"/>
      <c r="EJ74" s="314"/>
      <c r="EK74" s="314"/>
      <c r="EL74" s="314"/>
      <c r="EM74" s="314"/>
      <c r="EN74" s="314"/>
      <c r="EO74" s="314"/>
      <c r="EP74" s="314"/>
      <c r="EQ74" s="314"/>
      <c r="ER74" s="314"/>
      <c r="ES74" s="314"/>
      <c r="ET74" s="314"/>
      <c r="EU74" s="314"/>
      <c r="EV74" s="314"/>
      <c r="EW74" s="314"/>
      <c r="EX74" s="314"/>
      <c r="EY74" s="314"/>
      <c r="EZ74" s="314"/>
      <c r="FA74" s="314"/>
      <c r="FB74" s="314"/>
      <c r="FC74" s="314"/>
      <c r="FD74" s="314"/>
      <c r="FE74" s="314"/>
      <c r="FF74" s="314"/>
      <c r="FG74" s="314"/>
      <c r="FH74" s="314"/>
      <c r="FI74" s="314"/>
      <c r="FJ74" s="314"/>
      <c r="FK74" s="314"/>
      <c r="FL74" s="314"/>
      <c r="FM74" s="314"/>
      <c r="FN74" s="314"/>
      <c r="FO74" s="314"/>
      <c r="FP74" s="314"/>
      <c r="FQ74" s="314"/>
      <c r="FR74" s="314"/>
      <c r="FS74" s="314"/>
      <c r="FT74" s="314"/>
      <c r="FU74" s="314"/>
      <c r="FV74" s="314"/>
      <c r="FW74" s="314"/>
      <c r="FX74" s="314"/>
      <c r="FY74" s="314"/>
      <c r="FZ74" s="314"/>
      <c r="GA74" s="314"/>
      <c r="GB74" s="314"/>
      <c r="GC74" s="314"/>
      <c r="GD74" s="314"/>
      <c r="GE74" s="314"/>
      <c r="GF74" s="314"/>
      <c r="GG74" s="314"/>
      <c r="GH74" s="314"/>
      <c r="GI74" s="314"/>
      <c r="GJ74" s="314"/>
      <c r="GK74" s="314"/>
      <c r="GL74" s="314"/>
      <c r="GM74" s="314"/>
      <c r="GN74" s="314"/>
      <c r="GO74" s="314"/>
      <c r="GP74" s="314"/>
      <c r="GQ74" s="314"/>
      <c r="GR74" s="314"/>
      <c r="GS74" s="314"/>
      <c r="GT74" s="314"/>
      <c r="GU74" s="314"/>
      <c r="GV74" s="314"/>
      <c r="GW74" s="314"/>
      <c r="GX74" s="314"/>
      <c r="GY74" s="314"/>
      <c r="GZ74" s="314"/>
      <c r="HA74" s="314"/>
      <c r="HB74" s="314"/>
      <c r="HC74" s="314"/>
      <c r="HD74" s="314"/>
      <c r="HE74" s="314"/>
      <c r="HF74" s="314"/>
      <c r="HG74" s="314"/>
      <c r="HH74" s="314"/>
      <c r="HI74" s="314"/>
      <c r="HJ74" s="314"/>
      <c r="HK74" s="314"/>
      <c r="HL74" s="314"/>
      <c r="HM74" s="314"/>
      <c r="HN74" s="314"/>
      <c r="HO74" s="314"/>
      <c r="HP74" s="314"/>
      <c r="HQ74" s="314"/>
      <c r="HR74" s="314"/>
      <c r="HS74" s="314"/>
      <c r="HT74" s="314"/>
      <c r="HU74" s="314"/>
      <c r="HV74" s="314"/>
      <c r="HW74" s="314"/>
      <c r="HX74" s="314"/>
      <c r="HY74" s="314"/>
      <c r="HZ74" s="314"/>
      <c r="IA74" s="314"/>
      <c r="IB74" s="314"/>
      <c r="IC74" s="314"/>
      <c r="ID74" s="314"/>
      <c r="IE74" s="314"/>
      <c r="IF74" s="314"/>
      <c r="IG74" s="314"/>
      <c r="IH74" s="314"/>
      <c r="II74" s="314"/>
      <c r="IJ74" s="314"/>
      <c r="IK74" s="314"/>
      <c r="IL74" s="314"/>
      <c r="IM74" s="314"/>
      <c r="IN74" s="314"/>
      <c r="IO74" s="314"/>
      <c r="IP74" s="314"/>
      <c r="IQ74" s="314"/>
      <c r="IR74" s="314"/>
      <c r="IS74" s="314"/>
      <c r="IT74" s="314"/>
      <c r="IU74" s="314"/>
      <c r="IV74" s="314"/>
      <c r="IW74" s="314"/>
    </row>
    <row r="75" customFormat="false" ht="12.75" hidden="false" customHeight="false" outlineLevel="0" collapsed="false">
      <c r="A75" s="342"/>
      <c r="B75" s="343" t="s">
        <v>366</v>
      </c>
      <c r="C75" s="314"/>
      <c r="D75" s="314"/>
      <c r="E75" s="316" t="n">
        <f aca="false">-Trapped!F29</f>
        <v>-0</v>
      </c>
      <c r="F75" s="316" t="n">
        <f aca="false">-Trapped!G29</f>
        <v>-0</v>
      </c>
      <c r="G75" s="316" t="n">
        <f aca="false">-Trapped!H29</f>
        <v>-417.210678711196</v>
      </c>
      <c r="H75" s="316" t="n">
        <f aca="false">-Trapped!I29</f>
        <v>-0</v>
      </c>
      <c r="I75" s="316" t="n">
        <f aca="false">-Trapped!J29</f>
        <v>-0</v>
      </c>
      <c r="J75" s="316" t="n">
        <f aca="false">-Trapped!K29</f>
        <v>-0</v>
      </c>
      <c r="K75" s="316" t="n">
        <f aca="false">-Trapped!L29</f>
        <v>-0</v>
      </c>
      <c r="L75" s="316" t="n">
        <f aca="false">-Trapped!M29</f>
        <v>-0</v>
      </c>
      <c r="M75" s="316" t="n">
        <f aca="false">-Trapped!N29</f>
        <v>-0</v>
      </c>
      <c r="N75" s="316" t="n">
        <f aca="false">-Trapped!O29</f>
        <v>-0</v>
      </c>
      <c r="O75" s="316" t="n">
        <f aca="false">-Trapped!P29</f>
        <v>-901.86206944576</v>
      </c>
      <c r="P75" s="316" t="n">
        <f aca="false">-Trapped!Q29</f>
        <v>-1398.83989883108</v>
      </c>
      <c r="Q75" s="316" t="n">
        <f aca="false">-Trapped!R29</f>
        <v>-1038.37916847248</v>
      </c>
      <c r="R75" s="316" t="n">
        <f aca="false">-Trapped!S29</f>
        <v>-701.711656224285</v>
      </c>
      <c r="S75" s="316" t="n">
        <f aca="false">-Trapped!T29</f>
        <v>-3964.0773063303</v>
      </c>
      <c r="T75" s="316" t="n">
        <f aca="false">-Trapped!U29</f>
        <v>-5180.99532058638</v>
      </c>
      <c r="U75" s="316" t="n">
        <f aca="false">-Trapped!V29</f>
        <v>-7805.10646010131</v>
      </c>
      <c r="V75" s="316" t="n">
        <f aca="false">-Trapped!W29</f>
        <v>-13040.7608961221</v>
      </c>
      <c r="W75" s="316" t="n">
        <f aca="false">-Trapped!X29</f>
        <v>-9217.12572042692</v>
      </c>
      <c r="X75" s="316" t="n">
        <f aca="false">-Trapped!Y29</f>
        <v>-6320.60023218462</v>
      </c>
      <c r="Y75" s="316" t="n">
        <f aca="false">-Trapped!Z29</f>
        <v>-0</v>
      </c>
      <c r="Z75" s="317" t="n">
        <f aca="false">SUM(E75:Y75)</f>
        <v>-49986.6694074364</v>
      </c>
      <c r="AA75" s="314"/>
      <c r="AB75" s="136" t="n">
        <f aca="false">AB74+1</f>
        <v>69</v>
      </c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4"/>
      <c r="AZ75" s="31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14"/>
      <c r="BL75" s="314"/>
      <c r="BM75" s="314"/>
      <c r="BN75" s="314"/>
      <c r="BO75" s="314"/>
      <c r="BP75" s="314"/>
      <c r="BQ75" s="314"/>
      <c r="BR75" s="314"/>
      <c r="BS75" s="314"/>
      <c r="BT75" s="314"/>
      <c r="BU75" s="314"/>
      <c r="BV75" s="314"/>
      <c r="BW75" s="314"/>
      <c r="BX75" s="314"/>
      <c r="BY75" s="314"/>
      <c r="BZ75" s="314"/>
      <c r="CA75" s="314"/>
      <c r="CB75" s="314"/>
      <c r="CC75" s="314"/>
      <c r="CD75" s="314"/>
      <c r="CE75" s="314"/>
      <c r="CF75" s="314"/>
      <c r="CG75" s="314"/>
      <c r="CH75" s="314"/>
      <c r="CI75" s="314"/>
      <c r="CJ75" s="314"/>
      <c r="CK75" s="314"/>
      <c r="CL75" s="314"/>
      <c r="CM75" s="314"/>
      <c r="CN75" s="314"/>
      <c r="CO75" s="314"/>
      <c r="CP75" s="314"/>
      <c r="CQ75" s="314"/>
      <c r="CR75" s="314"/>
      <c r="CS75" s="314"/>
      <c r="CT75" s="314"/>
      <c r="CU75" s="314"/>
      <c r="CV75" s="314"/>
      <c r="CW75" s="314"/>
      <c r="CX75" s="314"/>
      <c r="CY75" s="314"/>
      <c r="CZ75" s="314"/>
      <c r="DA75" s="314"/>
      <c r="DB75" s="314"/>
      <c r="DC75" s="314"/>
      <c r="DD75" s="314"/>
      <c r="DE75" s="314"/>
      <c r="DF75" s="314"/>
      <c r="DG75" s="314"/>
      <c r="DH75" s="314"/>
      <c r="DI75" s="314"/>
      <c r="DJ75" s="314"/>
      <c r="DK75" s="314"/>
      <c r="DL75" s="314"/>
      <c r="DM75" s="314"/>
      <c r="DN75" s="314"/>
      <c r="DO75" s="314"/>
      <c r="DP75" s="314"/>
      <c r="DQ75" s="314"/>
      <c r="DR75" s="314"/>
      <c r="DS75" s="314"/>
      <c r="DT75" s="314"/>
      <c r="DU75" s="314"/>
      <c r="DV75" s="314"/>
      <c r="DW75" s="314"/>
      <c r="DX75" s="314"/>
      <c r="DY75" s="314"/>
      <c r="DZ75" s="314"/>
      <c r="EA75" s="314"/>
      <c r="EB75" s="314"/>
      <c r="EC75" s="314"/>
      <c r="ED75" s="314"/>
      <c r="EE75" s="314"/>
      <c r="EF75" s="314"/>
      <c r="EG75" s="314"/>
      <c r="EH75" s="314"/>
      <c r="EI75" s="314"/>
      <c r="EJ75" s="314"/>
      <c r="EK75" s="314"/>
      <c r="EL75" s="314"/>
      <c r="EM75" s="314"/>
      <c r="EN75" s="314"/>
      <c r="EO75" s="314"/>
      <c r="EP75" s="314"/>
      <c r="EQ75" s="314"/>
      <c r="ER75" s="314"/>
      <c r="ES75" s="314"/>
      <c r="ET75" s="314"/>
      <c r="EU75" s="314"/>
      <c r="EV75" s="314"/>
      <c r="EW75" s="314"/>
      <c r="EX75" s="314"/>
      <c r="EY75" s="314"/>
      <c r="EZ75" s="314"/>
      <c r="FA75" s="314"/>
      <c r="FB75" s="314"/>
      <c r="FC75" s="314"/>
      <c r="FD75" s="314"/>
      <c r="FE75" s="314"/>
      <c r="FF75" s="314"/>
      <c r="FG75" s="314"/>
      <c r="FH75" s="314"/>
      <c r="FI75" s="314"/>
      <c r="FJ75" s="314"/>
      <c r="FK75" s="314"/>
      <c r="FL75" s="314"/>
      <c r="FM75" s="314"/>
      <c r="FN75" s="314"/>
      <c r="FO75" s="314"/>
      <c r="FP75" s="314"/>
      <c r="FQ75" s="314"/>
      <c r="FR75" s="314"/>
      <c r="FS75" s="314"/>
      <c r="FT75" s="314"/>
      <c r="FU75" s="314"/>
      <c r="FV75" s="314"/>
      <c r="FW75" s="314"/>
      <c r="FX75" s="314"/>
      <c r="FY75" s="314"/>
      <c r="FZ75" s="314"/>
      <c r="GA75" s="314"/>
      <c r="GB75" s="314"/>
      <c r="GC75" s="314"/>
      <c r="GD75" s="314"/>
      <c r="GE75" s="314"/>
      <c r="GF75" s="314"/>
      <c r="GG75" s="314"/>
      <c r="GH75" s="314"/>
      <c r="GI75" s="314"/>
      <c r="GJ75" s="314"/>
      <c r="GK75" s="314"/>
      <c r="GL75" s="314"/>
      <c r="GM75" s="314"/>
      <c r="GN75" s="314"/>
      <c r="GO75" s="314"/>
      <c r="GP75" s="314"/>
      <c r="GQ75" s="314"/>
      <c r="GR75" s="314"/>
      <c r="GS75" s="314"/>
      <c r="GT75" s="314"/>
      <c r="GU75" s="314"/>
      <c r="GV75" s="314"/>
      <c r="GW75" s="314"/>
      <c r="GX75" s="314"/>
      <c r="GY75" s="314"/>
      <c r="GZ75" s="314"/>
      <c r="HA75" s="314"/>
      <c r="HB75" s="314"/>
      <c r="HC75" s="314"/>
      <c r="HD75" s="314"/>
      <c r="HE75" s="314"/>
      <c r="HF75" s="314"/>
      <c r="HG75" s="314"/>
      <c r="HH75" s="314"/>
      <c r="HI75" s="314"/>
      <c r="HJ75" s="314"/>
      <c r="HK75" s="314"/>
      <c r="HL75" s="314"/>
      <c r="HM75" s="314"/>
      <c r="HN75" s="314"/>
      <c r="HO75" s="314"/>
      <c r="HP75" s="314"/>
      <c r="HQ75" s="314"/>
      <c r="HR75" s="314"/>
      <c r="HS75" s="314"/>
      <c r="HT75" s="314"/>
      <c r="HU75" s="314"/>
      <c r="HV75" s="314"/>
      <c r="HW75" s="314"/>
      <c r="HX75" s="314"/>
      <c r="HY75" s="314"/>
      <c r="HZ75" s="314"/>
      <c r="IA75" s="314"/>
      <c r="IB75" s="314"/>
      <c r="IC75" s="314"/>
      <c r="ID75" s="314"/>
      <c r="IE75" s="314"/>
      <c r="IF75" s="314"/>
      <c r="IG75" s="314"/>
      <c r="IH75" s="314"/>
      <c r="II75" s="314"/>
      <c r="IJ75" s="314"/>
      <c r="IK75" s="314"/>
      <c r="IL75" s="314"/>
      <c r="IM75" s="314"/>
      <c r="IN75" s="314"/>
      <c r="IO75" s="314"/>
      <c r="IP75" s="314"/>
      <c r="IQ75" s="314"/>
      <c r="IR75" s="314"/>
      <c r="IS75" s="314"/>
      <c r="IT75" s="314"/>
      <c r="IU75" s="314"/>
      <c r="IV75" s="314"/>
      <c r="IW75" s="314"/>
    </row>
    <row r="76" customFormat="false" ht="12.75" hidden="false" customHeight="false" outlineLevel="0" collapsed="false">
      <c r="A76" s="342"/>
      <c r="B76" s="343" t="s">
        <v>367</v>
      </c>
      <c r="C76" s="314"/>
      <c r="D76" s="314"/>
      <c r="E76" s="316" t="n">
        <f aca="false">-Trapped!F30</f>
        <v>-0</v>
      </c>
      <c r="F76" s="316" t="n">
        <f aca="false">-Trapped!G30</f>
        <v>-0</v>
      </c>
      <c r="G76" s="316" t="n">
        <f aca="false">-Trapped!H30</f>
        <v>-0</v>
      </c>
      <c r="H76" s="316" t="n">
        <f aca="false">-Trapped!I30</f>
        <v>5093.30482979046</v>
      </c>
      <c r="I76" s="316" t="n">
        <f aca="false">-Trapped!J30</f>
        <v>6188.13937756333</v>
      </c>
      <c r="J76" s="316" t="n">
        <f aca="false">-Trapped!K30</f>
        <v>4949.2006012693</v>
      </c>
      <c r="K76" s="316" t="n">
        <f aca="false">-Trapped!L30</f>
        <v>5319.40289573351</v>
      </c>
      <c r="L76" s="316" t="n">
        <f aca="false">-Trapped!M30</f>
        <v>5427.61159749414</v>
      </c>
      <c r="M76" s="316" t="n">
        <f aca="false">-Trapped!N30</f>
        <v>5050.28824629369</v>
      </c>
      <c r="N76" s="316" t="n">
        <f aca="false">-Trapped!O30</f>
        <v>1793.90530618424</v>
      </c>
      <c r="O76" s="316" t="n">
        <f aca="false">-Trapped!P30</f>
        <v>-0</v>
      </c>
      <c r="P76" s="316" t="n">
        <f aca="false">-Trapped!Q30</f>
        <v>-0</v>
      </c>
      <c r="Q76" s="316" t="n">
        <f aca="false">-Trapped!R30</f>
        <v>-0</v>
      </c>
      <c r="R76" s="316" t="n">
        <f aca="false">-Trapped!S30</f>
        <v>-0</v>
      </c>
      <c r="S76" s="316" t="n">
        <f aca="false">-Trapped!T30</f>
        <v>-0</v>
      </c>
      <c r="T76" s="316" t="n">
        <f aca="false">-Trapped!U30</f>
        <v>-0</v>
      </c>
      <c r="U76" s="316" t="n">
        <f aca="false">-Trapped!V30</f>
        <v>-0</v>
      </c>
      <c r="V76" s="316" t="n">
        <f aca="false">-Trapped!W30</f>
        <v>-0</v>
      </c>
      <c r="W76" s="316" t="n">
        <f aca="false">-Trapped!X30</f>
        <v>-0</v>
      </c>
      <c r="X76" s="316" t="n">
        <f aca="false">-Trapped!Y30</f>
        <v>-0</v>
      </c>
      <c r="Y76" s="316" t="n">
        <f aca="false">-Trapped!Z30</f>
        <v>16164.8165531078</v>
      </c>
      <c r="Z76" s="317" t="n">
        <f aca="false">SUM(E76:Y76)</f>
        <v>49986.6694074364</v>
      </c>
      <c r="AA76" s="314"/>
      <c r="AB76" s="136" t="n">
        <f aca="false">AB75+1</f>
        <v>70</v>
      </c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4"/>
      <c r="AZ76" s="31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14"/>
      <c r="BL76" s="314"/>
      <c r="BM76" s="314"/>
      <c r="BN76" s="314"/>
      <c r="BO76" s="314"/>
      <c r="BP76" s="314"/>
      <c r="BQ76" s="314"/>
      <c r="BR76" s="314"/>
      <c r="BS76" s="314"/>
      <c r="BT76" s="314"/>
      <c r="BU76" s="314"/>
      <c r="BV76" s="314"/>
      <c r="BW76" s="314"/>
      <c r="BX76" s="314"/>
      <c r="BY76" s="314"/>
      <c r="BZ76" s="314"/>
      <c r="CA76" s="314"/>
      <c r="CB76" s="314"/>
      <c r="CC76" s="314"/>
      <c r="CD76" s="314"/>
      <c r="CE76" s="314"/>
      <c r="CF76" s="314"/>
      <c r="CG76" s="314"/>
      <c r="CH76" s="314"/>
      <c r="CI76" s="314"/>
      <c r="CJ76" s="314"/>
      <c r="CK76" s="314"/>
      <c r="CL76" s="314"/>
      <c r="CM76" s="314"/>
      <c r="CN76" s="314"/>
      <c r="CO76" s="314"/>
      <c r="CP76" s="314"/>
      <c r="CQ76" s="314"/>
      <c r="CR76" s="314"/>
      <c r="CS76" s="314"/>
      <c r="CT76" s="314"/>
      <c r="CU76" s="314"/>
      <c r="CV76" s="314"/>
      <c r="CW76" s="314"/>
      <c r="CX76" s="314"/>
      <c r="CY76" s="314"/>
      <c r="CZ76" s="314"/>
      <c r="DA76" s="314"/>
      <c r="DB76" s="314"/>
      <c r="DC76" s="314"/>
      <c r="DD76" s="314"/>
      <c r="DE76" s="314"/>
      <c r="DF76" s="314"/>
      <c r="DG76" s="314"/>
      <c r="DH76" s="314"/>
      <c r="DI76" s="314"/>
      <c r="DJ76" s="314"/>
      <c r="DK76" s="314"/>
      <c r="DL76" s="314"/>
      <c r="DM76" s="314"/>
      <c r="DN76" s="314"/>
      <c r="DO76" s="314"/>
      <c r="DP76" s="314"/>
      <c r="DQ76" s="314"/>
      <c r="DR76" s="314"/>
      <c r="DS76" s="314"/>
      <c r="DT76" s="314"/>
      <c r="DU76" s="314"/>
      <c r="DV76" s="314"/>
      <c r="DW76" s="314"/>
      <c r="DX76" s="314"/>
      <c r="DY76" s="314"/>
      <c r="DZ76" s="314"/>
      <c r="EA76" s="314"/>
      <c r="EB76" s="314"/>
      <c r="EC76" s="314"/>
      <c r="ED76" s="314"/>
      <c r="EE76" s="314"/>
      <c r="EF76" s="314"/>
      <c r="EG76" s="314"/>
      <c r="EH76" s="314"/>
      <c r="EI76" s="314"/>
      <c r="EJ76" s="314"/>
      <c r="EK76" s="314"/>
      <c r="EL76" s="314"/>
      <c r="EM76" s="314"/>
      <c r="EN76" s="314"/>
      <c r="EO76" s="314"/>
      <c r="EP76" s="314"/>
      <c r="EQ76" s="314"/>
      <c r="ER76" s="314"/>
      <c r="ES76" s="314"/>
      <c r="ET76" s="314"/>
      <c r="EU76" s="314"/>
      <c r="EV76" s="314"/>
      <c r="EW76" s="314"/>
      <c r="EX76" s="314"/>
      <c r="EY76" s="314"/>
      <c r="EZ76" s="314"/>
      <c r="FA76" s="314"/>
      <c r="FB76" s="314"/>
      <c r="FC76" s="314"/>
      <c r="FD76" s="314"/>
      <c r="FE76" s="314"/>
      <c r="FF76" s="314"/>
      <c r="FG76" s="314"/>
      <c r="FH76" s="314"/>
      <c r="FI76" s="314"/>
      <c r="FJ76" s="314"/>
      <c r="FK76" s="314"/>
      <c r="FL76" s="314"/>
      <c r="FM76" s="314"/>
      <c r="FN76" s="314"/>
      <c r="FO76" s="314"/>
      <c r="FP76" s="314"/>
      <c r="FQ76" s="314"/>
      <c r="FR76" s="314"/>
      <c r="FS76" s="314"/>
      <c r="FT76" s="314"/>
      <c r="FU76" s="314"/>
      <c r="FV76" s="314"/>
      <c r="FW76" s="314"/>
      <c r="FX76" s="314"/>
      <c r="FY76" s="314"/>
      <c r="FZ76" s="314"/>
      <c r="GA76" s="314"/>
      <c r="GB76" s="314"/>
      <c r="GC76" s="314"/>
      <c r="GD76" s="314"/>
      <c r="GE76" s="314"/>
      <c r="GF76" s="314"/>
      <c r="GG76" s="314"/>
      <c r="GH76" s="314"/>
      <c r="GI76" s="314"/>
      <c r="GJ76" s="314"/>
      <c r="GK76" s="314"/>
      <c r="GL76" s="314"/>
      <c r="GM76" s="314"/>
      <c r="GN76" s="314"/>
      <c r="GO76" s="314"/>
      <c r="GP76" s="314"/>
      <c r="GQ76" s="314"/>
      <c r="GR76" s="314"/>
      <c r="GS76" s="314"/>
      <c r="GT76" s="314"/>
      <c r="GU76" s="314"/>
      <c r="GV76" s="314"/>
      <c r="GW76" s="314"/>
      <c r="GX76" s="314"/>
      <c r="GY76" s="314"/>
      <c r="GZ76" s="314"/>
      <c r="HA76" s="314"/>
      <c r="HB76" s="314"/>
      <c r="HC76" s="314"/>
      <c r="HD76" s="314"/>
      <c r="HE76" s="314"/>
      <c r="HF76" s="314"/>
      <c r="HG76" s="314"/>
      <c r="HH76" s="314"/>
      <c r="HI76" s="314"/>
      <c r="HJ76" s="314"/>
      <c r="HK76" s="314"/>
      <c r="HL76" s="314"/>
      <c r="HM76" s="314"/>
      <c r="HN76" s="314"/>
      <c r="HO76" s="314"/>
      <c r="HP76" s="314"/>
      <c r="HQ76" s="314"/>
      <c r="HR76" s="314"/>
      <c r="HS76" s="314"/>
      <c r="HT76" s="314"/>
      <c r="HU76" s="314"/>
      <c r="HV76" s="314"/>
      <c r="HW76" s="314"/>
      <c r="HX76" s="314"/>
      <c r="HY76" s="314"/>
      <c r="HZ76" s="314"/>
      <c r="IA76" s="314"/>
      <c r="IB76" s="314"/>
      <c r="IC76" s="314"/>
      <c r="ID76" s="314"/>
      <c r="IE76" s="314"/>
      <c r="IF76" s="314"/>
      <c r="IG76" s="314"/>
      <c r="IH76" s="314"/>
      <c r="II76" s="314"/>
      <c r="IJ76" s="314"/>
      <c r="IK76" s="314"/>
      <c r="IL76" s="314"/>
      <c r="IM76" s="314"/>
      <c r="IN76" s="314"/>
      <c r="IO76" s="314"/>
      <c r="IP76" s="314"/>
      <c r="IQ76" s="314"/>
      <c r="IR76" s="314"/>
      <c r="IS76" s="314"/>
      <c r="IT76" s="314"/>
      <c r="IU76" s="314"/>
      <c r="IV76" s="314"/>
      <c r="IW76" s="314"/>
    </row>
    <row r="77" customFormat="false" ht="12.75" hidden="false" customHeight="false" outlineLevel="0" collapsed="false">
      <c r="A77" s="342"/>
      <c r="B77" s="343"/>
      <c r="C77" s="314"/>
      <c r="D77" s="314"/>
      <c r="E77" s="316"/>
      <c r="F77" s="316"/>
      <c r="G77" s="316"/>
      <c r="H77" s="316"/>
      <c r="I77" s="316"/>
      <c r="J77" s="316"/>
      <c r="K77" s="316"/>
      <c r="L77" s="316"/>
      <c r="M77" s="316"/>
      <c r="N77" s="316"/>
      <c r="O77" s="316"/>
      <c r="P77" s="316"/>
      <c r="Q77" s="316"/>
      <c r="R77" s="316"/>
      <c r="S77" s="316"/>
      <c r="T77" s="316"/>
      <c r="U77" s="316"/>
      <c r="V77" s="316"/>
      <c r="W77" s="316"/>
      <c r="X77" s="316"/>
      <c r="Y77" s="316"/>
      <c r="Z77" s="317"/>
      <c r="AA77" s="314"/>
      <c r="AB77" s="136" t="n">
        <f aca="false">AB76+1</f>
        <v>71</v>
      </c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4"/>
      <c r="AZ77" s="31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14"/>
      <c r="BL77" s="314"/>
      <c r="BM77" s="314"/>
      <c r="BN77" s="314"/>
      <c r="BO77" s="314"/>
      <c r="BP77" s="314"/>
      <c r="BQ77" s="314"/>
      <c r="BR77" s="314"/>
      <c r="BS77" s="314"/>
      <c r="BT77" s="314"/>
      <c r="BU77" s="314"/>
      <c r="BV77" s="314"/>
      <c r="BW77" s="314"/>
      <c r="BX77" s="314"/>
      <c r="BY77" s="314"/>
      <c r="BZ77" s="314"/>
      <c r="CA77" s="314"/>
      <c r="CB77" s="314"/>
      <c r="CC77" s="314"/>
      <c r="CD77" s="314"/>
      <c r="CE77" s="314"/>
      <c r="CF77" s="314"/>
      <c r="CG77" s="314"/>
      <c r="CH77" s="314"/>
      <c r="CI77" s="314"/>
      <c r="CJ77" s="314"/>
      <c r="CK77" s="314"/>
      <c r="CL77" s="314"/>
      <c r="CM77" s="314"/>
      <c r="CN77" s="314"/>
      <c r="CO77" s="314"/>
      <c r="CP77" s="314"/>
      <c r="CQ77" s="314"/>
      <c r="CR77" s="314"/>
      <c r="CS77" s="314"/>
      <c r="CT77" s="314"/>
      <c r="CU77" s="314"/>
      <c r="CV77" s="314"/>
      <c r="CW77" s="314"/>
      <c r="CX77" s="314"/>
      <c r="CY77" s="314"/>
      <c r="CZ77" s="314"/>
      <c r="DA77" s="314"/>
      <c r="DB77" s="314"/>
      <c r="DC77" s="314"/>
      <c r="DD77" s="314"/>
      <c r="DE77" s="314"/>
      <c r="DF77" s="314"/>
      <c r="DG77" s="314"/>
      <c r="DH77" s="314"/>
      <c r="DI77" s="314"/>
      <c r="DJ77" s="314"/>
      <c r="DK77" s="314"/>
      <c r="DL77" s="314"/>
      <c r="DM77" s="314"/>
      <c r="DN77" s="314"/>
      <c r="DO77" s="314"/>
      <c r="DP77" s="314"/>
      <c r="DQ77" s="314"/>
      <c r="DR77" s="314"/>
      <c r="DS77" s="314"/>
      <c r="DT77" s="314"/>
      <c r="DU77" s="314"/>
      <c r="DV77" s="314"/>
      <c r="DW77" s="314"/>
      <c r="DX77" s="314"/>
      <c r="DY77" s="314"/>
      <c r="DZ77" s="314"/>
      <c r="EA77" s="314"/>
      <c r="EB77" s="314"/>
      <c r="EC77" s="314"/>
      <c r="ED77" s="314"/>
      <c r="EE77" s="314"/>
      <c r="EF77" s="314"/>
      <c r="EG77" s="314"/>
      <c r="EH77" s="314"/>
      <c r="EI77" s="314"/>
      <c r="EJ77" s="314"/>
      <c r="EK77" s="314"/>
      <c r="EL77" s="314"/>
      <c r="EM77" s="314"/>
      <c r="EN77" s="314"/>
      <c r="EO77" s="314"/>
      <c r="EP77" s="314"/>
      <c r="EQ77" s="314"/>
      <c r="ER77" s="314"/>
      <c r="ES77" s="314"/>
      <c r="ET77" s="314"/>
      <c r="EU77" s="314"/>
      <c r="EV77" s="314"/>
      <c r="EW77" s="314"/>
      <c r="EX77" s="314"/>
      <c r="EY77" s="314"/>
      <c r="EZ77" s="314"/>
      <c r="FA77" s="314"/>
      <c r="FB77" s="314"/>
      <c r="FC77" s="314"/>
      <c r="FD77" s="314"/>
      <c r="FE77" s="314"/>
      <c r="FF77" s="314"/>
      <c r="FG77" s="314"/>
      <c r="FH77" s="314"/>
      <c r="FI77" s="314"/>
      <c r="FJ77" s="314"/>
      <c r="FK77" s="314"/>
      <c r="FL77" s="314"/>
      <c r="FM77" s="314"/>
      <c r="FN77" s="314"/>
      <c r="FO77" s="314"/>
      <c r="FP77" s="314"/>
      <c r="FQ77" s="314"/>
      <c r="FR77" s="314"/>
      <c r="FS77" s="314"/>
      <c r="FT77" s="314"/>
      <c r="FU77" s="314"/>
      <c r="FV77" s="314"/>
      <c r="FW77" s="314"/>
      <c r="FX77" s="314"/>
      <c r="FY77" s="314"/>
      <c r="FZ77" s="314"/>
      <c r="GA77" s="314"/>
      <c r="GB77" s="314"/>
      <c r="GC77" s="314"/>
      <c r="GD77" s="314"/>
      <c r="GE77" s="314"/>
      <c r="GF77" s="314"/>
      <c r="GG77" s="314"/>
      <c r="GH77" s="314"/>
      <c r="GI77" s="314"/>
      <c r="GJ77" s="314"/>
      <c r="GK77" s="314"/>
      <c r="GL77" s="314"/>
      <c r="GM77" s="314"/>
      <c r="GN77" s="314"/>
      <c r="GO77" s="314"/>
      <c r="GP77" s="314"/>
      <c r="GQ77" s="314"/>
      <c r="GR77" s="314"/>
      <c r="GS77" s="314"/>
      <c r="GT77" s="314"/>
      <c r="GU77" s="314"/>
      <c r="GV77" s="314"/>
      <c r="GW77" s="314"/>
      <c r="GX77" s="314"/>
      <c r="GY77" s="314"/>
      <c r="GZ77" s="314"/>
      <c r="HA77" s="314"/>
      <c r="HB77" s="314"/>
      <c r="HC77" s="314"/>
      <c r="HD77" s="314"/>
      <c r="HE77" s="314"/>
      <c r="HF77" s="314"/>
      <c r="HG77" s="314"/>
      <c r="HH77" s="314"/>
      <c r="HI77" s="314"/>
      <c r="HJ77" s="314"/>
      <c r="HK77" s="314"/>
      <c r="HL77" s="314"/>
      <c r="HM77" s="314"/>
      <c r="HN77" s="314"/>
      <c r="HO77" s="314"/>
      <c r="HP77" s="314"/>
      <c r="HQ77" s="314"/>
      <c r="HR77" s="314"/>
      <c r="HS77" s="314"/>
      <c r="HT77" s="314"/>
      <c r="HU77" s="314"/>
      <c r="HV77" s="314"/>
      <c r="HW77" s="314"/>
      <c r="HX77" s="314"/>
      <c r="HY77" s="314"/>
      <c r="HZ77" s="314"/>
      <c r="IA77" s="314"/>
      <c r="IB77" s="314"/>
      <c r="IC77" s="314"/>
      <c r="ID77" s="314"/>
      <c r="IE77" s="314"/>
      <c r="IF77" s="314"/>
      <c r="IG77" s="314"/>
      <c r="IH77" s="314"/>
      <c r="II77" s="314"/>
      <c r="IJ77" s="314"/>
      <c r="IK77" s="314"/>
      <c r="IL77" s="314"/>
      <c r="IM77" s="314"/>
      <c r="IN77" s="314"/>
      <c r="IO77" s="314"/>
      <c r="IP77" s="314"/>
      <c r="IQ77" s="314"/>
      <c r="IR77" s="314"/>
      <c r="IS77" s="314"/>
      <c r="IT77" s="314"/>
      <c r="IU77" s="314"/>
      <c r="IV77" s="314"/>
      <c r="IW77" s="314"/>
    </row>
    <row r="78" customFormat="false" ht="12.75" hidden="false" customHeight="false" outlineLevel="0" collapsed="false">
      <c r="A78" s="333" t="s">
        <v>368</v>
      </c>
      <c r="B78" s="334"/>
      <c r="C78" s="334"/>
      <c r="D78" s="334"/>
      <c r="E78" s="335" t="n">
        <f aca="false">SUM(E73:E77)</f>
        <v>0</v>
      </c>
      <c r="F78" s="335" t="n">
        <f aca="false">SUM(F73:F77)</f>
        <v>0</v>
      </c>
      <c r="G78" s="335" t="n">
        <f aca="false">SUM(G73:G77)</f>
        <v>0</v>
      </c>
      <c r="H78" s="335" t="n">
        <f aca="false">SUM(H73:H77)</f>
        <v>0</v>
      </c>
      <c r="I78" s="335" t="n">
        <f aca="false">SUM(I73:I77)</f>
        <v>0</v>
      </c>
      <c r="J78" s="335" t="n">
        <f aca="false">SUM(J73:J77)</f>
        <v>0</v>
      </c>
      <c r="K78" s="335" t="n">
        <f aca="false">SUM(K73:K77)</f>
        <v>0</v>
      </c>
      <c r="L78" s="335" t="n">
        <f aca="false">SUM(L73:L77)</f>
        <v>0</v>
      </c>
      <c r="M78" s="335" t="n">
        <f aca="false">SUM(M73:M77)</f>
        <v>0</v>
      </c>
      <c r="N78" s="335" t="n">
        <f aca="false">SUM(N73:N77)</f>
        <v>0</v>
      </c>
      <c r="O78" s="335" t="n">
        <f aca="false">SUM(O73:O77)</f>
        <v>0</v>
      </c>
      <c r="P78" s="335" t="n">
        <f aca="false">SUM(P73:P77)</f>
        <v>0</v>
      </c>
      <c r="Q78" s="335" t="n">
        <f aca="false">SUM(Q73:Q77)</f>
        <v>0</v>
      </c>
      <c r="R78" s="335" t="n">
        <f aca="false">SUM(R73:R77)</f>
        <v>0</v>
      </c>
      <c r="S78" s="335" t="n">
        <f aca="false">SUM(S73:S77)</f>
        <v>0</v>
      </c>
      <c r="T78" s="335" t="n">
        <f aca="false">SUM(T73:T77)</f>
        <v>0</v>
      </c>
      <c r="U78" s="335" t="n">
        <f aca="false">SUM(U73:U77)</f>
        <v>0</v>
      </c>
      <c r="V78" s="335" t="n">
        <f aca="false">SUM(V73:V77)</f>
        <v>0</v>
      </c>
      <c r="W78" s="335" t="n">
        <f aca="false">SUM(W73:W77)</f>
        <v>4150.35970157787</v>
      </c>
      <c r="X78" s="335" t="n">
        <f aca="false">SUM(X73:X77)</f>
        <v>7581.36886552416</v>
      </c>
      <c r="Y78" s="335" t="n">
        <f aca="false">SUM(Y73:Y77)</f>
        <v>20507.0035433508</v>
      </c>
      <c r="Z78" s="336" t="n">
        <f aca="false">SUM(E78:Y78)</f>
        <v>32238.7321104528</v>
      </c>
      <c r="AA78" s="314"/>
      <c r="AB78" s="136" t="n">
        <f aca="false">AB77+1</f>
        <v>72</v>
      </c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4"/>
      <c r="AZ78" s="31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14"/>
      <c r="BL78" s="314"/>
      <c r="BM78" s="314"/>
      <c r="BN78" s="314"/>
      <c r="BO78" s="314"/>
      <c r="BP78" s="314"/>
      <c r="BQ78" s="314"/>
      <c r="BR78" s="314"/>
      <c r="BS78" s="314"/>
      <c r="BT78" s="314"/>
      <c r="BU78" s="314"/>
      <c r="BV78" s="314"/>
      <c r="BW78" s="314"/>
      <c r="BX78" s="314"/>
      <c r="BY78" s="314"/>
      <c r="BZ78" s="314"/>
      <c r="CA78" s="314"/>
      <c r="CB78" s="314"/>
      <c r="CC78" s="314"/>
      <c r="CD78" s="314"/>
      <c r="CE78" s="314"/>
      <c r="CF78" s="314"/>
      <c r="CG78" s="314"/>
      <c r="CH78" s="314"/>
      <c r="CI78" s="314"/>
      <c r="CJ78" s="314"/>
      <c r="CK78" s="314"/>
      <c r="CL78" s="314"/>
      <c r="CM78" s="314"/>
      <c r="CN78" s="314"/>
      <c r="CO78" s="314"/>
      <c r="CP78" s="314"/>
      <c r="CQ78" s="314"/>
      <c r="CR78" s="314"/>
      <c r="CS78" s="314"/>
      <c r="CT78" s="314"/>
      <c r="CU78" s="314"/>
      <c r="CV78" s="314"/>
      <c r="CW78" s="314"/>
      <c r="CX78" s="314"/>
      <c r="CY78" s="314"/>
      <c r="CZ78" s="314"/>
      <c r="DA78" s="314"/>
      <c r="DB78" s="314"/>
      <c r="DC78" s="314"/>
      <c r="DD78" s="314"/>
      <c r="DE78" s="314"/>
      <c r="DF78" s="314"/>
      <c r="DG78" s="314"/>
      <c r="DH78" s="314"/>
      <c r="DI78" s="314"/>
      <c r="DJ78" s="314"/>
      <c r="DK78" s="314"/>
      <c r="DL78" s="314"/>
      <c r="DM78" s="314"/>
      <c r="DN78" s="314"/>
      <c r="DO78" s="314"/>
      <c r="DP78" s="314"/>
      <c r="DQ78" s="314"/>
      <c r="DR78" s="314"/>
      <c r="DS78" s="314"/>
      <c r="DT78" s="314"/>
      <c r="DU78" s="314"/>
      <c r="DV78" s="314"/>
      <c r="DW78" s="314"/>
      <c r="DX78" s="314"/>
      <c r="DY78" s="314"/>
      <c r="DZ78" s="314"/>
      <c r="EA78" s="314"/>
      <c r="EB78" s="314"/>
      <c r="EC78" s="314"/>
      <c r="ED78" s="314"/>
      <c r="EE78" s="314"/>
      <c r="EF78" s="314"/>
      <c r="EG78" s="314"/>
      <c r="EH78" s="314"/>
      <c r="EI78" s="314"/>
      <c r="EJ78" s="314"/>
      <c r="EK78" s="314"/>
      <c r="EL78" s="314"/>
      <c r="EM78" s="314"/>
      <c r="EN78" s="314"/>
      <c r="EO78" s="314"/>
      <c r="EP78" s="314"/>
      <c r="EQ78" s="314"/>
      <c r="ER78" s="314"/>
      <c r="ES78" s="314"/>
      <c r="ET78" s="314"/>
      <c r="EU78" s="314"/>
      <c r="EV78" s="314"/>
      <c r="EW78" s="314"/>
      <c r="EX78" s="314"/>
      <c r="EY78" s="314"/>
      <c r="EZ78" s="314"/>
      <c r="FA78" s="314"/>
      <c r="FB78" s="314"/>
      <c r="FC78" s="314"/>
      <c r="FD78" s="314"/>
      <c r="FE78" s="314"/>
      <c r="FF78" s="314"/>
      <c r="FG78" s="314"/>
      <c r="FH78" s="314"/>
      <c r="FI78" s="314"/>
      <c r="FJ78" s="314"/>
      <c r="FK78" s="314"/>
      <c r="FL78" s="314"/>
      <c r="FM78" s="314"/>
      <c r="FN78" s="314"/>
      <c r="FO78" s="314"/>
      <c r="FP78" s="314"/>
      <c r="FQ78" s="314"/>
      <c r="FR78" s="314"/>
      <c r="FS78" s="314"/>
      <c r="FT78" s="314"/>
      <c r="FU78" s="314"/>
      <c r="FV78" s="314"/>
      <c r="FW78" s="314"/>
      <c r="FX78" s="314"/>
      <c r="FY78" s="314"/>
      <c r="FZ78" s="314"/>
      <c r="GA78" s="314"/>
      <c r="GB78" s="314"/>
      <c r="GC78" s="314"/>
      <c r="GD78" s="314"/>
      <c r="GE78" s="314"/>
      <c r="GF78" s="314"/>
      <c r="GG78" s="314"/>
      <c r="GH78" s="314"/>
      <c r="GI78" s="314"/>
      <c r="GJ78" s="314"/>
      <c r="GK78" s="314"/>
      <c r="GL78" s="314"/>
      <c r="GM78" s="314"/>
      <c r="GN78" s="314"/>
      <c r="GO78" s="314"/>
      <c r="GP78" s="314"/>
      <c r="GQ78" s="314"/>
      <c r="GR78" s="314"/>
      <c r="GS78" s="314"/>
      <c r="GT78" s="314"/>
      <c r="GU78" s="314"/>
      <c r="GV78" s="314"/>
      <c r="GW78" s="314"/>
      <c r="GX78" s="314"/>
      <c r="GY78" s="314"/>
      <c r="GZ78" s="314"/>
      <c r="HA78" s="314"/>
      <c r="HB78" s="314"/>
      <c r="HC78" s="314"/>
      <c r="HD78" s="314"/>
      <c r="HE78" s="314"/>
      <c r="HF78" s="314"/>
      <c r="HG78" s="314"/>
      <c r="HH78" s="314"/>
      <c r="HI78" s="314"/>
      <c r="HJ78" s="314"/>
      <c r="HK78" s="314"/>
      <c r="HL78" s="314"/>
      <c r="HM78" s="314"/>
      <c r="HN78" s="314"/>
      <c r="HO78" s="314"/>
      <c r="HP78" s="314"/>
      <c r="HQ78" s="314"/>
      <c r="HR78" s="314"/>
      <c r="HS78" s="314"/>
      <c r="HT78" s="314"/>
      <c r="HU78" s="314"/>
      <c r="HV78" s="314"/>
      <c r="HW78" s="314"/>
      <c r="HX78" s="314"/>
      <c r="HY78" s="314"/>
      <c r="HZ78" s="314"/>
      <c r="IA78" s="314"/>
      <c r="IB78" s="314"/>
      <c r="IC78" s="314"/>
      <c r="ID78" s="314"/>
      <c r="IE78" s="314"/>
      <c r="IF78" s="314"/>
      <c r="IG78" s="314"/>
      <c r="IH78" s="314"/>
      <c r="II78" s="314"/>
      <c r="IJ78" s="314"/>
      <c r="IK78" s="314"/>
      <c r="IL78" s="314"/>
      <c r="IM78" s="314"/>
      <c r="IN78" s="314"/>
      <c r="IO78" s="314"/>
      <c r="IP78" s="314"/>
      <c r="IQ78" s="314"/>
      <c r="IR78" s="314"/>
      <c r="IS78" s="314"/>
      <c r="IT78" s="314"/>
      <c r="IU78" s="314"/>
      <c r="IV78" s="314"/>
      <c r="IW78" s="314"/>
    </row>
    <row r="79" customFormat="false" ht="13.5" hidden="false" customHeight="false" outlineLevel="0" collapsed="false">
      <c r="A79" s="49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349"/>
      <c r="AA79" s="314"/>
      <c r="AB79" s="314"/>
      <c r="AC79" s="314"/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4"/>
      <c r="AZ79" s="31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14"/>
      <c r="BL79" s="314"/>
      <c r="BM79" s="314"/>
      <c r="BN79" s="314"/>
      <c r="BO79" s="314"/>
      <c r="BP79" s="314"/>
      <c r="BQ79" s="314"/>
      <c r="BR79" s="314"/>
      <c r="BS79" s="314"/>
      <c r="BT79" s="314"/>
      <c r="BU79" s="314"/>
      <c r="BV79" s="314"/>
      <c r="BW79" s="314"/>
      <c r="BX79" s="314"/>
      <c r="BY79" s="314"/>
      <c r="BZ79" s="314"/>
      <c r="CA79" s="314"/>
      <c r="CB79" s="314"/>
      <c r="CC79" s="314"/>
      <c r="CD79" s="314"/>
      <c r="CE79" s="314"/>
      <c r="CF79" s="314"/>
      <c r="CG79" s="314"/>
      <c r="CH79" s="314"/>
      <c r="CI79" s="314"/>
      <c r="CJ79" s="314"/>
      <c r="CK79" s="314"/>
      <c r="CL79" s="314"/>
      <c r="CM79" s="314"/>
      <c r="CN79" s="314"/>
      <c r="CO79" s="314"/>
      <c r="CP79" s="314"/>
      <c r="CQ79" s="314"/>
      <c r="CR79" s="314"/>
      <c r="CS79" s="314"/>
      <c r="CT79" s="314"/>
      <c r="CU79" s="314"/>
      <c r="CV79" s="314"/>
      <c r="CW79" s="314"/>
      <c r="CX79" s="314"/>
      <c r="CY79" s="314"/>
      <c r="CZ79" s="314"/>
      <c r="DA79" s="314"/>
      <c r="DB79" s="314"/>
      <c r="DC79" s="314"/>
      <c r="DD79" s="314"/>
      <c r="DE79" s="314"/>
      <c r="DF79" s="314"/>
      <c r="DG79" s="314"/>
      <c r="DH79" s="314"/>
      <c r="DI79" s="314"/>
      <c r="DJ79" s="314"/>
      <c r="DK79" s="314"/>
      <c r="DL79" s="314"/>
      <c r="DM79" s="314"/>
      <c r="DN79" s="314"/>
      <c r="DO79" s="314"/>
      <c r="DP79" s="314"/>
      <c r="DQ79" s="314"/>
      <c r="DR79" s="314"/>
      <c r="DS79" s="314"/>
      <c r="DT79" s="314"/>
      <c r="DU79" s="314"/>
      <c r="DV79" s="314"/>
      <c r="DW79" s="314"/>
      <c r="DX79" s="314"/>
      <c r="DY79" s="314"/>
      <c r="DZ79" s="314"/>
      <c r="EA79" s="314"/>
      <c r="EB79" s="314"/>
      <c r="EC79" s="314"/>
      <c r="ED79" s="314"/>
      <c r="EE79" s="314"/>
      <c r="EF79" s="314"/>
      <c r="EG79" s="314"/>
      <c r="EH79" s="314"/>
      <c r="EI79" s="314"/>
      <c r="EJ79" s="314"/>
      <c r="EK79" s="314"/>
      <c r="EL79" s="314"/>
      <c r="EM79" s="314"/>
      <c r="EN79" s="314"/>
      <c r="EO79" s="314"/>
      <c r="EP79" s="314"/>
      <c r="EQ79" s="314"/>
      <c r="ER79" s="314"/>
      <c r="ES79" s="314"/>
      <c r="ET79" s="314"/>
      <c r="EU79" s="314"/>
      <c r="EV79" s="314"/>
      <c r="EW79" s="314"/>
      <c r="EX79" s="314"/>
      <c r="EY79" s="314"/>
      <c r="EZ79" s="314"/>
      <c r="FA79" s="314"/>
      <c r="FB79" s="314"/>
      <c r="FC79" s="314"/>
      <c r="FD79" s="314"/>
      <c r="FE79" s="314"/>
      <c r="FF79" s="314"/>
      <c r="FG79" s="314"/>
      <c r="FH79" s="314"/>
      <c r="FI79" s="314"/>
      <c r="FJ79" s="314"/>
      <c r="FK79" s="314"/>
      <c r="FL79" s="314"/>
      <c r="FM79" s="314"/>
      <c r="FN79" s="314"/>
      <c r="FO79" s="314"/>
      <c r="FP79" s="314"/>
      <c r="FQ79" s="314"/>
      <c r="FR79" s="314"/>
      <c r="FS79" s="314"/>
      <c r="FT79" s="314"/>
      <c r="FU79" s="314"/>
      <c r="FV79" s="314"/>
      <c r="FW79" s="314"/>
      <c r="FX79" s="314"/>
      <c r="FY79" s="314"/>
      <c r="FZ79" s="314"/>
      <c r="GA79" s="314"/>
      <c r="GB79" s="314"/>
      <c r="GC79" s="314"/>
      <c r="GD79" s="314"/>
      <c r="GE79" s="314"/>
      <c r="GF79" s="314"/>
      <c r="GG79" s="314"/>
      <c r="GH79" s="314"/>
      <c r="GI79" s="314"/>
      <c r="GJ79" s="314"/>
      <c r="GK79" s="314"/>
      <c r="GL79" s="314"/>
      <c r="GM79" s="314"/>
      <c r="GN79" s="314"/>
      <c r="GO79" s="314"/>
      <c r="GP79" s="314"/>
      <c r="GQ79" s="314"/>
      <c r="GR79" s="314"/>
      <c r="GS79" s="314"/>
      <c r="GT79" s="314"/>
      <c r="GU79" s="314"/>
      <c r="GV79" s="314"/>
      <c r="GW79" s="314"/>
      <c r="GX79" s="314"/>
      <c r="GY79" s="314"/>
      <c r="GZ79" s="314"/>
      <c r="HA79" s="314"/>
      <c r="HB79" s="314"/>
      <c r="HC79" s="314"/>
      <c r="HD79" s="314"/>
      <c r="HE79" s="314"/>
      <c r="HF79" s="314"/>
      <c r="HG79" s="314"/>
      <c r="HH79" s="314"/>
      <c r="HI79" s="314"/>
      <c r="HJ79" s="314"/>
      <c r="HK79" s="314"/>
      <c r="HL79" s="314"/>
      <c r="HM79" s="314"/>
      <c r="HN79" s="314"/>
      <c r="HO79" s="314"/>
      <c r="HP79" s="314"/>
      <c r="HQ79" s="314"/>
      <c r="HR79" s="314"/>
      <c r="HS79" s="314"/>
      <c r="HT79" s="314"/>
      <c r="HU79" s="314"/>
      <c r="HV79" s="314"/>
      <c r="HW79" s="314"/>
      <c r="HX79" s="314"/>
      <c r="HY79" s="314"/>
      <c r="HZ79" s="314"/>
      <c r="IA79" s="314"/>
      <c r="IB79" s="314"/>
      <c r="IC79" s="314"/>
      <c r="ID79" s="314"/>
      <c r="IE79" s="314"/>
      <c r="IF79" s="314"/>
      <c r="IG79" s="314"/>
      <c r="IH79" s="314"/>
      <c r="II79" s="314"/>
      <c r="IJ79" s="314"/>
      <c r="IK79" s="314"/>
      <c r="IL79" s="314"/>
      <c r="IM79" s="314"/>
      <c r="IN79" s="314"/>
      <c r="IO79" s="314"/>
      <c r="IP79" s="314"/>
      <c r="IQ79" s="314"/>
      <c r="IR79" s="314"/>
      <c r="IS79" s="314"/>
      <c r="IT79" s="314"/>
      <c r="IU79" s="314"/>
      <c r="IV79" s="314"/>
      <c r="IW79" s="314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9"/>
  <sheetViews>
    <sheetView showFormulas="false" showGridLines="false" showRowColHeaders="true" showZeros="true" rightToLeft="false" tabSelected="false" showOutlineSymbols="true" defaultGridColor="true" view="normal" topLeftCell="A7" colorId="64" zoomScale="80" zoomScaleNormal="80" zoomScalePageLayoutView="100" workbookViewId="0">
      <pane xSplit="0" ySplit="1" topLeftCell="BM44" activePane="bottomLeft" state="frozen"/>
      <selection pane="topLeft" activeCell="A7" activeCellId="0" sqref="A7"/>
      <selection pane="bottomLeft" activeCell="A76" activeCellId="0" sqref="A7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8.7"/>
    <col collapsed="false" customWidth="true" hidden="false" outlineLevel="0" max="2" min="2" style="1" width="50.28"/>
    <col collapsed="false" customWidth="true" hidden="false" outlineLevel="0" max="3" min="3" style="1" width="10.99"/>
    <col collapsed="false" customWidth="true" hidden="false" outlineLevel="0" max="4" min="4" style="1" width="1.7"/>
    <col collapsed="false" customWidth="true" hidden="false" outlineLevel="0" max="26" min="5" style="1" width="10.71"/>
    <col collapsed="false" customWidth="true" hidden="false" outlineLevel="0" max="27" min="27" style="39" width="10.71"/>
    <col collapsed="false" customWidth="true" hidden="false" outlineLevel="0" max="28" min="28" style="1" width="10.71"/>
    <col collapsed="false" customWidth="true" hidden="false" outlineLevel="0" max="29" min="29" style="1" width="11.13"/>
    <col collapsed="false" customWidth="false" hidden="false" outlineLevel="0" max="257" min="30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352"/>
      <c r="F1" s="352"/>
      <c r="G1" s="353"/>
      <c r="H1" s="352"/>
      <c r="I1" s="352"/>
      <c r="J1" s="354"/>
      <c r="K1" s="352"/>
      <c r="L1" s="352"/>
      <c r="M1" s="352"/>
      <c r="N1" s="352"/>
      <c r="O1" s="352"/>
      <c r="P1" s="352"/>
      <c r="Q1" s="352"/>
      <c r="R1" s="355"/>
      <c r="S1" s="352"/>
      <c r="T1" s="352"/>
      <c r="U1" s="352"/>
      <c r="V1" s="352"/>
      <c r="W1" s="352"/>
      <c r="X1" s="352"/>
      <c r="Y1" s="352"/>
      <c r="Z1" s="352"/>
      <c r="AA1" s="108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352"/>
      <c r="F2" s="352"/>
      <c r="G2" s="353"/>
      <c r="H2" s="352"/>
      <c r="I2" s="352"/>
      <c r="J2" s="354"/>
      <c r="K2" s="352"/>
      <c r="L2" s="352"/>
      <c r="M2" s="352"/>
      <c r="N2" s="352"/>
      <c r="O2" s="352"/>
      <c r="P2" s="352"/>
      <c r="Q2" s="352"/>
      <c r="R2" s="355"/>
      <c r="S2" s="352"/>
      <c r="T2" s="352"/>
      <c r="U2" s="352"/>
      <c r="V2" s="352"/>
      <c r="W2" s="352"/>
      <c r="X2" s="352"/>
      <c r="Y2" s="352"/>
      <c r="Z2" s="352"/>
      <c r="AA2" s="108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357"/>
      <c r="F3" s="352"/>
      <c r="G3" s="353"/>
      <c r="H3" s="352"/>
      <c r="I3" s="352"/>
      <c r="J3" s="354"/>
      <c r="K3" s="352"/>
      <c r="L3" s="352"/>
      <c r="M3" s="352"/>
      <c r="N3" s="352"/>
      <c r="O3" s="352"/>
      <c r="P3" s="352"/>
      <c r="Q3" s="352"/>
      <c r="R3" s="352"/>
      <c r="S3" s="358"/>
      <c r="T3" s="358"/>
      <c r="U3" s="352"/>
      <c r="V3" s="352"/>
      <c r="W3" s="352"/>
      <c r="X3" s="352"/>
      <c r="Y3" s="352"/>
      <c r="Z3" s="352"/>
      <c r="AA3" s="108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369</v>
      </c>
      <c r="B4" s="21"/>
      <c r="C4" s="15"/>
      <c r="D4" s="108"/>
      <c r="E4" s="357"/>
      <c r="F4" s="352"/>
      <c r="G4" s="353"/>
      <c r="H4" s="352"/>
      <c r="I4" s="352"/>
      <c r="J4" s="354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108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08"/>
      <c r="F5" s="108"/>
      <c r="G5" s="108"/>
      <c r="H5" s="108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108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320</v>
      </c>
      <c r="B6" s="26"/>
      <c r="C6" s="26"/>
      <c r="D6" s="26"/>
      <c r="E6" s="26" t="n">
        <f aca="false">IF(E$7&lt;YEAR(Startops1),0,D$6+1)</f>
        <v>0</v>
      </c>
      <c r="F6" s="26" t="n">
        <f aca="false">IF(F$7&lt;YEAR(Startops1),0,E$6+1)</f>
        <v>0</v>
      </c>
      <c r="G6" s="26" t="n">
        <f aca="false">IF(G$7&lt;YEAR(Startops1),0,F$6+1)</f>
        <v>0</v>
      </c>
      <c r="H6" s="26" t="n">
        <f aca="false">IF(H$7&lt;YEAR(Startops1),0,G$6+1)</f>
        <v>1</v>
      </c>
      <c r="I6" s="26" t="n">
        <f aca="false">IF(I$7&lt;YEAR(Startops1),0,H$6+1)</f>
        <v>2</v>
      </c>
      <c r="J6" s="26" t="n">
        <f aca="false">IF(J$7&lt;YEAR(Startops1),0,I$6+1)</f>
        <v>3</v>
      </c>
      <c r="K6" s="26" t="n">
        <f aca="false">IF(K$7&lt;YEAR(Startops1),0,J$6+1)</f>
        <v>4</v>
      </c>
      <c r="L6" s="26" t="n">
        <f aca="false">IF(L$7&lt;YEAR(Startops1),0,K$6+1)</f>
        <v>5</v>
      </c>
      <c r="M6" s="26" t="n">
        <f aca="false">IF(M$7&lt;YEAR(Startops1),0,L$6+1)</f>
        <v>6</v>
      </c>
      <c r="N6" s="26" t="n">
        <f aca="false">IF(N$7&lt;YEAR(Startops1),0,M$6+1)</f>
        <v>7</v>
      </c>
      <c r="O6" s="26" t="n">
        <f aca="false">IF(O$7&lt;YEAR(Startops1),0,N$6+1)</f>
        <v>8</v>
      </c>
      <c r="P6" s="26" t="n">
        <f aca="false">IF(P$7&lt;YEAR(Startops1),0,O$6+1)</f>
        <v>9</v>
      </c>
      <c r="Q6" s="26" t="n">
        <f aca="false">IF(Q$7&lt;YEAR(Startops1),0,P$6+1)</f>
        <v>10</v>
      </c>
      <c r="R6" s="26" t="n">
        <f aca="false">IF(R$7&lt;YEAR(Startops1),0,Q$6+1)</f>
        <v>11</v>
      </c>
      <c r="S6" s="26" t="n">
        <f aca="false">IF(S$7&lt;YEAR(Startops1),0,R$6+1)</f>
        <v>12</v>
      </c>
      <c r="T6" s="26" t="n">
        <f aca="false">IF(T$7&lt;YEAR(Startops1),0,S$6+1)</f>
        <v>13</v>
      </c>
      <c r="U6" s="26" t="n">
        <f aca="false">IF(U$7&lt;YEAR(Startops1),0,T$6+1)</f>
        <v>14</v>
      </c>
      <c r="V6" s="26" t="n">
        <f aca="false">IF(V$7&lt;YEAR(Startops1),0,U$6+1)</f>
        <v>15</v>
      </c>
      <c r="W6" s="26" t="n">
        <f aca="false">IF(W$7&lt;YEAR(Startops1),0,V$6+1)</f>
        <v>16</v>
      </c>
      <c r="X6" s="26" t="n">
        <f aca="false">IF(X$7&lt;YEAR(Startops1),0,W$6+1)</f>
        <v>17</v>
      </c>
      <c r="Y6" s="26" t="n">
        <f aca="false">IF(Y$7&lt;YEAR(Startops1),0,X$6+1)</f>
        <v>18</v>
      </c>
      <c r="Z6" s="26" t="n">
        <f aca="false">IF(Z$7&lt;YEAR(Startops1),0,Y$6+1)</f>
        <v>19</v>
      </c>
      <c r="AA6" s="287"/>
      <c r="AB6" s="359" t="s">
        <v>212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322</v>
      </c>
      <c r="B7" s="22"/>
      <c r="C7" s="22"/>
      <c r="D7" s="50"/>
      <c r="E7" s="360" t="n">
        <v>1998</v>
      </c>
      <c r="F7" s="50" t="n">
        <f aca="false">E7+1</f>
        <v>1999</v>
      </c>
      <c r="G7" s="50" t="n">
        <f aca="false">F7+1</f>
        <v>2000</v>
      </c>
      <c r="H7" s="50" t="n">
        <f aca="false">G7+1</f>
        <v>2001</v>
      </c>
      <c r="I7" s="50" t="n">
        <f aca="false">H7+1</f>
        <v>2002</v>
      </c>
      <c r="J7" s="50" t="n">
        <f aca="false">I7+1</f>
        <v>2003</v>
      </c>
      <c r="K7" s="50" t="n">
        <f aca="false">J7+1</f>
        <v>2004</v>
      </c>
      <c r="L7" s="50" t="n">
        <f aca="false">K7+1</f>
        <v>2005</v>
      </c>
      <c r="M7" s="50" t="n">
        <f aca="false">L7+1</f>
        <v>2006</v>
      </c>
      <c r="N7" s="50" t="n">
        <f aca="false">M7+1</f>
        <v>2007</v>
      </c>
      <c r="O7" s="50" t="n">
        <f aca="false">N7+1</f>
        <v>2008</v>
      </c>
      <c r="P7" s="50" t="n">
        <f aca="false">O7+1</f>
        <v>2009</v>
      </c>
      <c r="Q7" s="50" t="n">
        <f aca="false">P7+1</f>
        <v>2010</v>
      </c>
      <c r="R7" s="50" t="n">
        <f aca="false">Q7+1</f>
        <v>2011</v>
      </c>
      <c r="S7" s="50" t="n">
        <f aca="false">R7+1</f>
        <v>2012</v>
      </c>
      <c r="T7" s="50" t="n">
        <f aca="false">S7+1</f>
        <v>2013</v>
      </c>
      <c r="U7" s="50" t="n">
        <f aca="false">T7+1</f>
        <v>2014</v>
      </c>
      <c r="V7" s="50" t="n">
        <f aca="false">U7+1</f>
        <v>2015</v>
      </c>
      <c r="W7" s="50" t="n">
        <f aca="false">V7+1</f>
        <v>2016</v>
      </c>
      <c r="X7" s="50" t="n">
        <f aca="false">W7+1</f>
        <v>2017</v>
      </c>
      <c r="Y7" s="50" t="n">
        <f aca="false">X7+1</f>
        <v>2018</v>
      </c>
      <c r="Z7" s="50" t="n">
        <f aca="false">Y7+1</f>
        <v>2019</v>
      </c>
      <c r="AA7" s="293" t="s">
        <v>323</v>
      </c>
      <c r="AB7" s="293" t="s">
        <v>370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361"/>
      <c r="B8" s="39"/>
      <c r="C8" s="39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62"/>
      <c r="AB8" s="298"/>
    </row>
    <row r="9" customFormat="false" ht="12.75" hidden="false" customHeight="false" outlineLevel="0" collapsed="false">
      <c r="A9" s="363" t="s">
        <v>371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298"/>
      <c r="AB9" s="298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38"/>
      <c r="B10" s="39" t="s">
        <v>372</v>
      </c>
      <c r="C10" s="39"/>
      <c r="D10" s="315"/>
      <c r="E10" s="61" t="n">
        <f aca="false">IF(E$7&lt;YEAR(Startconst),0,-(HLOOKUP(DATE(E$7,12,31),Idc_Table,IDC!$AP$67)+SUM($D10:D10)))</f>
        <v>-6637.97008564951</v>
      </c>
      <c r="F10" s="61" t="n">
        <f aca="false">IF(F$7&lt;YEAR(Startconst),0,-(HLOOKUP(DATE(F$7,12,31),Idc_Table,IDC!$AP$67)+SUM($D10:E10)))</f>
        <v>-22492.5427415822</v>
      </c>
      <c r="G10" s="61" t="n">
        <f aca="false">IF(G$7&lt;YEAR(Startconst),0,-(HLOOKUP(DATE(G$7,12,31),Idc_Table,IDC!$AP$67)+SUM($D10:F10)))</f>
        <v>-0</v>
      </c>
      <c r="H10" s="61" t="n">
        <f aca="false">IF(H$7&lt;YEAR(Startconst),0,-(HLOOKUP(DATE(H$7,12,31),Idc_Table,IDC!$AP$67)+SUM($D10:G10)))</f>
        <v>-0</v>
      </c>
      <c r="I10" s="61" t="n">
        <f aca="false">IF(I$7&lt;YEAR(Startconst),0,-(HLOOKUP(DATE(I$7,12,31),Idc_Table,IDC!$AP$67)+SUM($D10:H10)))</f>
        <v>-0</v>
      </c>
      <c r="J10" s="61" t="n">
        <f aca="false">IF(J$7&lt;YEAR(Startconst),0,-(HLOOKUP(DATE(J$7,12,31),Idc_Table,IDC!$AP$67)+SUM($D10:I10)))</f>
        <v>-0</v>
      </c>
      <c r="K10" s="61" t="n">
        <f aca="false">IF(K$7&lt;YEAR(Startconst),0,-(HLOOKUP(DATE(K$7,12,31),Idc_Table,IDC!$AP$67)+SUM($D10:J10)))</f>
        <v>-0</v>
      </c>
      <c r="L10" s="61" t="n">
        <f aca="false">IF(L$7&lt;YEAR(Startconst),0,-(HLOOKUP(DATE(L$7,12,31),Idc_Table,IDC!$AP$67)+SUM($D10:K10)))</f>
        <v>-0</v>
      </c>
      <c r="M10" s="61" t="n">
        <f aca="false">IF(M$7&lt;YEAR(Startconst),0,-(HLOOKUP(DATE(M$7,12,31),Idc_Table,IDC!$AP$67)+SUM($D10:L10)))</f>
        <v>-0</v>
      </c>
      <c r="N10" s="61" t="n">
        <f aca="false">IF(N$7&lt;YEAR(Startconst),0,-(HLOOKUP(DATE(N$7,12,31),Idc_Table,IDC!$AP$67)+SUM($D10:M10)))</f>
        <v>-0</v>
      </c>
      <c r="O10" s="61" t="n">
        <f aca="false">IF(O$7&lt;YEAR(Startconst),0,-(HLOOKUP(DATE(O$7,12,31),Idc_Table,IDC!$AP$67)+SUM($D10:N10)))</f>
        <v>-0</v>
      </c>
      <c r="P10" s="61" t="n">
        <f aca="false">IF(P$7&lt;YEAR(Startconst),0,-(HLOOKUP(DATE(P$7,12,31),Idc_Table,IDC!$AP$67)+SUM($D10:O10)))</f>
        <v>-0</v>
      </c>
      <c r="Q10" s="61" t="n">
        <f aca="false">IF(Q$7&lt;YEAR(Startconst),0,-(HLOOKUP(DATE(Q$7,12,31),Idc_Table,IDC!$AP$67)+SUM($D10:P10)))</f>
        <v>-0</v>
      </c>
      <c r="R10" s="61" t="n">
        <f aca="false">IF(R$7&lt;YEAR(Startconst),0,-(HLOOKUP(DATE(R$7,12,31),Idc_Table,IDC!$AP$67)+SUM($D10:Q10)))</f>
        <v>-0</v>
      </c>
      <c r="S10" s="61" t="n">
        <f aca="false">IF(S$7&lt;YEAR(Startconst),0,-(HLOOKUP(DATE(S$7,12,31),Idc_Table,IDC!$AP$67)+SUM($D10:R10)))</f>
        <v>-0</v>
      </c>
      <c r="T10" s="61" t="n">
        <f aca="false">IF(T$7&lt;YEAR(Startconst),0,-(HLOOKUP(DATE(T$7,12,31),Idc_Table,IDC!$AP$67)+SUM($D10:S10)))</f>
        <v>-0</v>
      </c>
      <c r="U10" s="61" t="n">
        <f aca="false">IF(U$7&lt;YEAR(Startconst),0,-(HLOOKUP(DATE(U$7,12,31),Idc_Table,IDC!$AP$67)+SUM($D10:T10)))</f>
        <v>-0</v>
      </c>
      <c r="V10" s="61" t="n">
        <f aca="false">IF(V$7&lt;YEAR(Startconst),0,-(HLOOKUP(DATE(V$7,12,31),Idc_Table,IDC!$AP$67)+SUM($D10:U10)))</f>
        <v>-0</v>
      </c>
      <c r="W10" s="61" t="n">
        <f aca="false">IF(W$7&lt;YEAR(Startconst),0,-(HLOOKUP(DATE(W$7,12,31),Idc_Table,IDC!$AP$67)+SUM($D10:V10)))</f>
        <v>-0</v>
      </c>
      <c r="X10" s="61" t="n">
        <f aca="false">IF(X$7&lt;YEAR(Startconst),0,-(HLOOKUP(DATE(X$7,12,31),Idc_Table,IDC!$AP$67)+SUM($D10:W10)))</f>
        <v>-0</v>
      </c>
      <c r="Y10" s="61" t="n">
        <f aca="false">IF(Y$7&lt;YEAR(Startconst),0,-(HLOOKUP(DATE(Y$7,12,31),Idc_Table,IDC!$AP$67)+SUM($D10:X10)))</f>
        <v>-0</v>
      </c>
      <c r="Z10" s="61" t="n">
        <f aca="false">IF(Z$7&lt;YEAR(Startconst),0,-(HLOOKUP(DATE(Z$7,12,31),Idc_Table,IDC!$AP$67)+SUM($D10:Y10)))</f>
        <v>-0</v>
      </c>
      <c r="AA10" s="304" t="n">
        <f aca="false">SUM(D10:Z10)</f>
        <v>-29130.5128272317</v>
      </c>
      <c r="AB10" s="304" t="n">
        <f aca="false">$E10+NPV(Disc,$F10:Z10)</f>
        <v>-25539.2665071472</v>
      </c>
      <c r="AC10" s="284" t="str">
        <f aca="false">IF(ABS(AA10+Equity)&lt;0.5," ","CHECK")</f>
        <v> </v>
      </c>
    </row>
    <row r="11" customFormat="false" ht="12.75" hidden="false" customHeight="false" outlineLevel="0" collapsed="false">
      <c r="A11" s="138"/>
      <c r="B11" s="39" t="s">
        <v>373</v>
      </c>
      <c r="C11" s="39"/>
      <c r="D11" s="364"/>
      <c r="E11" s="365" t="n">
        <f aca="false">IF(E$7&lt;YEAR(Startops1),0,HLOOKUP(E$7,CF_Table,CF!$AB$78))</f>
        <v>0</v>
      </c>
      <c r="F11" s="365" t="n">
        <f aca="false">IF(F$7&lt;YEAR(Startops1),0,HLOOKUP(F$7,CF_Table,CF!$AB$78))</f>
        <v>0</v>
      </c>
      <c r="G11" s="365" t="n">
        <f aca="false">IF(G$7&lt;YEAR(Startops1),0,HLOOKUP(G$7,CF_Table,CF!$AB$78))</f>
        <v>0</v>
      </c>
      <c r="H11" s="365" t="n">
        <f aca="false">IF(H$7&lt;YEAR(Startops1),0,HLOOKUP(H$7,CF_Table,CF!$AB$78))</f>
        <v>0</v>
      </c>
      <c r="I11" s="365" t="n">
        <f aca="false">IF(I$7&lt;YEAR(Startops1),0,HLOOKUP(I$7,CF_Table,CF!$AB$78))</f>
        <v>0</v>
      </c>
      <c r="J11" s="365" t="n">
        <f aca="false">IF(J$7&lt;YEAR(Startops1),0,HLOOKUP(J$7,CF_Table,CF!$AB$78))</f>
        <v>0</v>
      </c>
      <c r="K11" s="365" t="n">
        <f aca="false">IF(K$7&lt;YEAR(Startops1),0,HLOOKUP(K$7,CF_Table,CF!$AB$78))</f>
        <v>0</v>
      </c>
      <c r="L11" s="365" t="n">
        <f aca="false">IF(L$7&lt;YEAR(Startops1),0,HLOOKUP(L$7,CF_Table,CF!$AB$78))</f>
        <v>0</v>
      </c>
      <c r="M11" s="365" t="n">
        <f aca="false">IF(M$7&lt;YEAR(Startops1),0,HLOOKUP(M$7,CF_Table,CF!$AB$78))</f>
        <v>0</v>
      </c>
      <c r="N11" s="365" t="n">
        <f aca="false">IF(N$7&lt;YEAR(Startops1),0,HLOOKUP(N$7,CF_Table,CF!$AB$78))</f>
        <v>0</v>
      </c>
      <c r="O11" s="365" t="n">
        <f aca="false">IF(O$7&lt;YEAR(Startops1),0,HLOOKUP(O$7,CF_Table,CF!$AB$78))</f>
        <v>0</v>
      </c>
      <c r="P11" s="365" t="n">
        <f aca="false">IF(P$7&lt;YEAR(Startops1),0,HLOOKUP(P$7,CF_Table,CF!$AB$78))</f>
        <v>0</v>
      </c>
      <c r="Q11" s="365" t="n">
        <f aca="false">IF(Q$7&lt;YEAR(Startops1),0,HLOOKUP(Q$7,CF_Table,CF!$AB$78))</f>
        <v>0</v>
      </c>
      <c r="R11" s="365" t="n">
        <f aca="false">IF(R$7&lt;YEAR(Startops1),0,HLOOKUP(R$7,CF_Table,CF!$AB$78))</f>
        <v>0</v>
      </c>
      <c r="S11" s="365" t="n">
        <f aca="false">IF(S$7&lt;YEAR(Startops1),0,HLOOKUP(S$7,CF_Table,CF!$AB$78))</f>
        <v>0</v>
      </c>
      <c r="T11" s="365" t="n">
        <f aca="false">IF(T$7&lt;YEAR(Startops1),0,HLOOKUP(T$7,CF_Table,CF!$AB$78))</f>
        <v>0</v>
      </c>
      <c r="U11" s="365" t="n">
        <f aca="false">IF(U$7&lt;YEAR(Startops1),0,HLOOKUP(U$7,CF_Table,CF!$AB$78))</f>
        <v>0</v>
      </c>
      <c r="V11" s="365" t="n">
        <f aca="false">IF(V$7&lt;YEAR(Startops1),0,HLOOKUP(V$7,CF_Table,CF!$AB$78))</f>
        <v>0</v>
      </c>
      <c r="W11" s="365" t="n">
        <f aca="false">IF(W$7&lt;YEAR(Startops1),0,HLOOKUP(W$7,CF_Table,CF!$AB$78))</f>
        <v>0</v>
      </c>
      <c r="X11" s="365" t="n">
        <f aca="false">IF(X$7&lt;YEAR(Startops1),0,HLOOKUP(X$7,CF_Table,CF!$AB$78))</f>
        <v>4150.35970157787</v>
      </c>
      <c r="Y11" s="365" t="n">
        <f aca="false">IF(Y$7&lt;YEAR(Startops1),0,HLOOKUP(Y$7,CF_Table,CF!$AB$78))</f>
        <v>7581.36886552416</v>
      </c>
      <c r="Z11" s="365" t="n">
        <f aca="false">IF(Z$7&lt;YEAR(Startops1),0,HLOOKUP(Z$7,CF_Table,CF!$AB$78))</f>
        <v>20507.0035433508</v>
      </c>
      <c r="AA11" s="304" t="n">
        <f aca="false">SUM(D11:Z11)</f>
        <v>32238.7321104528</v>
      </c>
      <c r="AB11" s="304" t="n">
        <f aca="false">$E11+NPV(Disc,$F11:Z11)</f>
        <v>917.471537084048</v>
      </c>
    </row>
    <row r="12" customFormat="false" ht="12.75" hidden="false" customHeight="false" outlineLevel="0" collapsed="false">
      <c r="A12" s="138"/>
      <c r="B12" s="39" t="s">
        <v>374</v>
      </c>
      <c r="C12" s="39"/>
      <c r="D12" s="364"/>
      <c r="E12" s="365" t="n">
        <f aca="false">IF(E$7&lt;YEAR(Startops1),0,-HLOOKUP(E$7,CF_Table,CF!$AB$52))</f>
        <v>0</v>
      </c>
      <c r="F12" s="365" t="n">
        <f aca="false">IF(F$7&lt;YEAR(Startops1),0,-HLOOKUP(F$7,CF_Table,CF!$AB$52))</f>
        <v>0</v>
      </c>
      <c r="G12" s="365" t="n">
        <f aca="false">IF(G$7&lt;YEAR(Startops1),0,-HLOOKUP(G$7,CF_Table,CF!$AB$52))</f>
        <v>0</v>
      </c>
      <c r="H12" s="365" t="n">
        <f aca="false">IF(H$7&lt;YEAR(Startops1),0,-HLOOKUP(H$7,CF_Table,CF!$AB$52))</f>
        <v>0</v>
      </c>
      <c r="I12" s="365" t="n">
        <f aca="false">IF(I$7&lt;YEAR(Startops1),0,-HLOOKUP(I$7,CF_Table,CF!$AB$52))</f>
        <v>0</v>
      </c>
      <c r="J12" s="365" t="n">
        <f aca="false">IF(J$7&lt;YEAR(Startops1),0,-HLOOKUP(J$7,CF_Table,CF!$AB$52))</f>
        <v>0</v>
      </c>
      <c r="K12" s="365" t="n">
        <f aca="false">IF(K$7&lt;YEAR(Startops1),0,-HLOOKUP(K$7,CF_Table,CF!$AB$52))</f>
        <v>0</v>
      </c>
      <c r="L12" s="365" t="n">
        <f aca="false">IF(L$7&lt;YEAR(Startops1),0,-HLOOKUP(L$7,CF_Table,CF!$AB$52))</f>
        <v>0</v>
      </c>
      <c r="M12" s="365" t="n">
        <f aca="false">IF(M$7&lt;YEAR(Startops1),0,-HLOOKUP(M$7,CF_Table,CF!$AB$52))</f>
        <v>0</v>
      </c>
      <c r="N12" s="365" t="n">
        <f aca="false">IF(N$7&lt;YEAR(Startops1),0,-HLOOKUP(N$7,CF_Table,CF!$AB$52))</f>
        <v>0</v>
      </c>
      <c r="O12" s="365" t="n">
        <f aca="false">IF(O$7&lt;YEAR(Startops1),0,-HLOOKUP(O$7,CF_Table,CF!$AB$52))</f>
        <v>-602.224988102776</v>
      </c>
      <c r="P12" s="365" t="n">
        <f aca="false">IF(P$7&lt;YEAR(Startops1),0,-HLOOKUP(P$7,CF_Table,CF!$AB$52))</f>
        <v>-578.460807770804</v>
      </c>
      <c r="Q12" s="365" t="n">
        <f aca="false">IF(Q$7&lt;YEAR(Startops1),0,-HLOOKUP(Q$7,CF_Table,CF!$AB$52))</f>
        <v>-464.094572400236</v>
      </c>
      <c r="R12" s="365" t="n">
        <f aca="false">IF(R$7&lt;YEAR(Startops1),0,-HLOOKUP(R$7,CF_Table,CF!$AB$52))</f>
        <v>-260.195765963851</v>
      </c>
      <c r="S12" s="365" t="n">
        <f aca="false">IF(S$7&lt;YEAR(Startops1),0,-HLOOKUP(S$7,CF_Table,CF!$AB$52))</f>
        <v>33.4729706022816</v>
      </c>
      <c r="T12" s="365" t="n">
        <f aca="false">IF(T$7&lt;YEAR(Startops1),0,-HLOOKUP(T$7,CF_Table,CF!$AB$52))</f>
        <v>442.646682586344</v>
      </c>
      <c r="U12" s="365" t="n">
        <f aca="false">IF(U$7&lt;YEAR(Startops1),0,-HLOOKUP(U$7,CF_Table,CF!$AB$52))</f>
        <v>828.169368941894</v>
      </c>
      <c r="V12" s="365" t="n">
        <f aca="false">IF(V$7&lt;YEAR(Startops1),0,-HLOOKUP(V$7,CF_Table,CF!$AB$52))</f>
        <v>1370.64012016712</v>
      </c>
      <c r="W12" s="365" t="n">
        <f aca="false">IF(W$7&lt;YEAR(Startops1),0,-HLOOKUP(W$7,CF_Table,CF!$AB$52))</f>
        <v>1995.82371472347</v>
      </c>
      <c r="X12" s="365" t="n">
        <f aca="false">IF(X$7&lt;YEAR(Startops1),0,-HLOOKUP(X$7,CF_Table,CF!$AB$52))</f>
        <v>2666.45144290828</v>
      </c>
      <c r="Y12" s="365" t="n">
        <f aca="false">IF(Y$7&lt;YEAR(Startops1),0,-HLOOKUP(Y$7,CF_Table,CF!$AB$52))</f>
        <v>2913.05128272317</v>
      </c>
      <c r="Z12" s="365" t="n">
        <f aca="false">IF(Z$7&lt;YEAR(Startops1),0,-HLOOKUP(Z$7,CF_Table,CF!$AB$52))</f>
        <v>971.017094241057</v>
      </c>
      <c r="AA12" s="304" t="n">
        <f aca="false">SUM(D12:Z12)</f>
        <v>9316.29654265595</v>
      </c>
      <c r="AB12" s="304" t="n">
        <f aca="false">$E12+NPV(Disc,$F12:Z12)</f>
        <v>182.149615714829</v>
      </c>
    </row>
    <row r="13" customFormat="false" ht="12.75" hidden="false" customHeight="false" outlineLevel="0" collapsed="false">
      <c r="A13" s="138"/>
      <c r="B13" s="39" t="s">
        <v>375</v>
      </c>
      <c r="C13" s="366" t="n">
        <f aca="false">Wh_Int</f>
        <v>0.15</v>
      </c>
      <c r="D13" s="364"/>
      <c r="E13" s="365" t="n">
        <f aca="false">-E12*$C$13</f>
        <v>-0</v>
      </c>
      <c r="F13" s="365" t="n">
        <f aca="false">-F12*$C$13</f>
        <v>-0</v>
      </c>
      <c r="G13" s="365" t="n">
        <f aca="false">-G12*$C$13</f>
        <v>-0</v>
      </c>
      <c r="H13" s="365" t="n">
        <f aca="false">-H12*$C$13</f>
        <v>-0</v>
      </c>
      <c r="I13" s="365" t="n">
        <f aca="false">-I12*$C$13</f>
        <v>-0</v>
      </c>
      <c r="J13" s="365" t="n">
        <f aca="false">-J12*$C$13</f>
        <v>-0</v>
      </c>
      <c r="K13" s="365" t="n">
        <f aca="false">-K12*$C$13</f>
        <v>-0</v>
      </c>
      <c r="L13" s="365" t="n">
        <f aca="false">-L12*$C$13</f>
        <v>-0</v>
      </c>
      <c r="M13" s="365" t="n">
        <f aca="false">-M12*$C$13</f>
        <v>-0</v>
      </c>
      <c r="N13" s="365" t="n">
        <f aca="false">-N12*$C$13</f>
        <v>-0</v>
      </c>
      <c r="O13" s="365" t="n">
        <f aca="false">-O12*$C$13</f>
        <v>90.3337482154164</v>
      </c>
      <c r="P13" s="365" t="n">
        <f aca="false">-P12*$C$13</f>
        <v>86.7691211656205</v>
      </c>
      <c r="Q13" s="365" t="n">
        <f aca="false">-Q12*$C$13</f>
        <v>69.6141858600354</v>
      </c>
      <c r="R13" s="365" t="n">
        <f aca="false">-R12*$C$13</f>
        <v>39.0293648945776</v>
      </c>
      <c r="S13" s="365" t="n">
        <f aca="false">-S12*$C$13</f>
        <v>-5.02094559034224</v>
      </c>
      <c r="T13" s="365" t="n">
        <f aca="false">-T12*$C$13</f>
        <v>-66.3970023879516</v>
      </c>
      <c r="U13" s="365" t="n">
        <f aca="false">-U12*$C$13</f>
        <v>-124.225405341284</v>
      </c>
      <c r="V13" s="365" t="n">
        <f aca="false">-V12*$C$13</f>
        <v>-205.596018025069</v>
      </c>
      <c r="W13" s="365" t="n">
        <f aca="false">-W12*$C$13</f>
        <v>-299.37355720852</v>
      </c>
      <c r="X13" s="365" t="n">
        <f aca="false">-X12*$C$13</f>
        <v>-399.967716436241</v>
      </c>
      <c r="Y13" s="365" t="n">
        <f aca="false">-Y12*$C$13</f>
        <v>-436.957692408476</v>
      </c>
      <c r="Z13" s="365" t="n">
        <f aca="false">-Z12*$C$13</f>
        <v>-145.652564136159</v>
      </c>
      <c r="AA13" s="304" t="n">
        <f aca="false">SUM(D13:Z13)</f>
        <v>-1397.44448139839</v>
      </c>
      <c r="AB13" s="304" t="n">
        <f aca="false">$E13+NPV(Disc,$F13:Z13)</f>
        <v>-27.3224423572243</v>
      </c>
    </row>
    <row r="14" customFormat="false" ht="12.75" hidden="false" customHeight="false" outlineLevel="0" collapsed="false">
      <c r="A14" s="138"/>
      <c r="B14" s="39" t="s">
        <v>376</v>
      </c>
      <c r="C14" s="39"/>
      <c r="D14" s="364"/>
      <c r="E14" s="61" t="n">
        <f aca="false">IF(E$7&lt;YEAR(Startops1),0,-(HLOOKUP(E$7,CF_Table,CF!$AB$75)+HLOOKUP(E$7,CF_Table,CF!$AB$76)))</f>
        <v>0</v>
      </c>
      <c r="F14" s="61" t="n">
        <f aca="false">IF(F$7&lt;YEAR(Startops1),0,-(HLOOKUP(F$7,CF_Table,CF!$AB$75)+HLOOKUP(F$7,CF_Table,CF!$AB$76)))</f>
        <v>0</v>
      </c>
      <c r="G14" s="61" t="n">
        <f aca="false">IF(G$7&lt;YEAR(Startops1),0,-(HLOOKUP(G$7,CF_Table,CF!$AB$75)+HLOOKUP(G$7,CF_Table,CF!$AB$76)))</f>
        <v>0</v>
      </c>
      <c r="H14" s="61" t="n">
        <f aca="false">IF(H$7&lt;YEAR(Startops1),0,-(HLOOKUP(H$7,CF_Table,CF!$AB$75)+HLOOKUP(H$7,CF_Table,CF!$AB$76)))</f>
        <v>417.210678711196</v>
      </c>
      <c r="I14" s="61" t="n">
        <f aca="false">IF(I$7&lt;YEAR(Startops1),0,-(HLOOKUP(I$7,CF_Table,CF!$AB$75)+HLOOKUP(I$7,CF_Table,CF!$AB$76)))</f>
        <v>-5093.30482979046</v>
      </c>
      <c r="J14" s="61" t="n">
        <f aca="false">IF(J$7&lt;YEAR(Startops1),0,-(HLOOKUP(J$7,CF_Table,CF!$AB$75)+HLOOKUP(J$7,CF_Table,CF!$AB$76)))</f>
        <v>-6188.13937756333</v>
      </c>
      <c r="K14" s="61" t="n">
        <f aca="false">IF(K$7&lt;YEAR(Startops1),0,-(HLOOKUP(K$7,CF_Table,CF!$AB$75)+HLOOKUP(K$7,CF_Table,CF!$AB$76)))</f>
        <v>-4949.2006012693</v>
      </c>
      <c r="L14" s="61" t="n">
        <f aca="false">IF(L$7&lt;YEAR(Startops1),0,-(HLOOKUP(L$7,CF_Table,CF!$AB$75)+HLOOKUP(L$7,CF_Table,CF!$AB$76)))</f>
        <v>-5319.40289573351</v>
      </c>
      <c r="M14" s="61" t="n">
        <f aca="false">IF(M$7&lt;YEAR(Startops1),0,-(HLOOKUP(M$7,CF_Table,CF!$AB$75)+HLOOKUP(M$7,CF_Table,CF!$AB$76)))</f>
        <v>-5427.61159749414</v>
      </c>
      <c r="N14" s="61" t="n">
        <f aca="false">IF(N$7&lt;YEAR(Startops1),0,-(HLOOKUP(N$7,CF_Table,CF!$AB$75)+HLOOKUP(N$7,CF_Table,CF!$AB$76)))</f>
        <v>-5050.28824629369</v>
      </c>
      <c r="O14" s="61" t="n">
        <f aca="false">IF(O$7&lt;YEAR(Startops1),0,-(HLOOKUP(O$7,CF_Table,CF!$AB$75)+HLOOKUP(O$7,CF_Table,CF!$AB$76)))</f>
        <v>-1793.90530618424</v>
      </c>
      <c r="P14" s="61" t="n">
        <f aca="false">IF(P$7&lt;YEAR(Startops1),0,-(HLOOKUP(P$7,CF_Table,CF!$AB$75)+HLOOKUP(P$7,CF_Table,CF!$AB$76)))</f>
        <v>901.86206944576</v>
      </c>
      <c r="Q14" s="61" t="n">
        <f aca="false">IF(Q$7&lt;YEAR(Startops1),0,-(HLOOKUP(Q$7,CF_Table,CF!$AB$75)+HLOOKUP(Q$7,CF_Table,CF!$AB$76)))</f>
        <v>1398.83989883108</v>
      </c>
      <c r="R14" s="61" t="n">
        <f aca="false">IF(R$7&lt;YEAR(Startops1),0,-(HLOOKUP(R$7,CF_Table,CF!$AB$75)+HLOOKUP(R$7,CF_Table,CF!$AB$76)))</f>
        <v>1038.37916847248</v>
      </c>
      <c r="S14" s="61" t="n">
        <f aca="false">IF(S$7&lt;YEAR(Startops1),0,-(HLOOKUP(S$7,CF_Table,CF!$AB$75)+HLOOKUP(S$7,CF_Table,CF!$AB$76)))</f>
        <v>701.711656224285</v>
      </c>
      <c r="T14" s="61" t="n">
        <f aca="false">IF(T$7&lt;YEAR(Startops1),0,-(HLOOKUP(T$7,CF_Table,CF!$AB$75)+HLOOKUP(T$7,CF_Table,CF!$AB$76)))</f>
        <v>3964.0773063303</v>
      </c>
      <c r="U14" s="61" t="n">
        <f aca="false">IF(U$7&lt;YEAR(Startops1),0,-(HLOOKUP(U$7,CF_Table,CF!$AB$75)+HLOOKUP(U$7,CF_Table,CF!$AB$76)))</f>
        <v>5180.99532058638</v>
      </c>
      <c r="V14" s="61" t="n">
        <f aca="false">IF(V$7&lt;YEAR(Startops1),0,-(HLOOKUP(V$7,CF_Table,CF!$AB$75)+HLOOKUP(V$7,CF_Table,CF!$AB$76)))</f>
        <v>7805.10646010131</v>
      </c>
      <c r="W14" s="61" t="n">
        <f aca="false">IF(W$7&lt;YEAR(Startops1),0,-(HLOOKUP(W$7,CF_Table,CF!$AB$75)+HLOOKUP(W$7,CF_Table,CF!$AB$76)))</f>
        <v>13040.7608961221</v>
      </c>
      <c r="X14" s="61" t="n">
        <f aca="false">IF(X$7&lt;YEAR(Startops1),0,-(HLOOKUP(X$7,CF_Table,CF!$AB$75)+HLOOKUP(X$7,CF_Table,CF!$AB$76)))</f>
        <v>9217.12572042692</v>
      </c>
      <c r="Y14" s="61" t="n">
        <f aca="false">IF(Y$7&lt;YEAR(Startops1),0,-(HLOOKUP(Y$7,CF_Table,CF!$AB$75)+HLOOKUP(Y$7,CF_Table,CF!$AB$76)))</f>
        <v>6320.60023218462</v>
      </c>
      <c r="Z14" s="61" t="n">
        <f aca="false">IF(Z$7&lt;YEAR(Startops1),0,-(HLOOKUP(Z$7,CF_Table,CF!$AB$75)+HLOOKUP(Z$7,CF_Table,CF!$AB$76)))</f>
        <v>-16164.8165531078</v>
      </c>
      <c r="AA14" s="304" t="n">
        <f aca="false">SUM(D14:Z14)</f>
        <v>0</v>
      </c>
      <c r="AB14" s="304" t="n">
        <f aca="false">$E14+NPV(Disc,$F14:Z14)</f>
        <v>-8744.83917887895</v>
      </c>
    </row>
    <row r="15" customFormat="false" ht="12.75" hidden="false" customHeight="false" outlineLevel="0" collapsed="false">
      <c r="A15" s="138"/>
      <c r="B15" s="39" t="s">
        <v>377</v>
      </c>
      <c r="C15" s="39"/>
      <c r="D15" s="364"/>
      <c r="E15" s="306" t="n">
        <f aca="false">IF(E$7=YEAR(Endyr),Assm!$L$85*Assm!$L$80,0)</f>
        <v>0</v>
      </c>
      <c r="F15" s="306" t="n">
        <f aca="false">IF(F$7=YEAR(Endyr),Assm!$L$85*Assm!$L$80,0)</f>
        <v>0</v>
      </c>
      <c r="G15" s="306" t="n">
        <f aca="false">IF(G$7=YEAR(Endyr),Assm!$L$85*Assm!$L$80,0)</f>
        <v>0</v>
      </c>
      <c r="H15" s="306" t="n">
        <f aca="false">IF(H$7=YEAR(Endyr),Assm!$L$85*Assm!$L$80,0)</f>
        <v>0</v>
      </c>
      <c r="I15" s="306" t="n">
        <f aca="false">IF(I$7=YEAR(Endyr),Assm!$L$85*Assm!$L$80,0)</f>
        <v>0</v>
      </c>
      <c r="J15" s="306" t="n">
        <f aca="false">IF(J$7=YEAR(Endyr),Assm!$L$85*Assm!$L$80,0)</f>
        <v>0</v>
      </c>
      <c r="K15" s="306" t="n">
        <f aca="false">IF(K$7=YEAR(Endyr),Assm!$L$85*Assm!$L$80,0)</f>
        <v>0</v>
      </c>
      <c r="L15" s="306" t="n">
        <f aca="false">IF(L$7=YEAR(Endyr),Assm!$L$85*Assm!$L$80,0)</f>
        <v>0</v>
      </c>
      <c r="M15" s="306" t="n">
        <f aca="false">IF(M$7=YEAR(Endyr),Assm!$L$85*Assm!$L$80,0)</f>
        <v>0</v>
      </c>
      <c r="N15" s="306" t="n">
        <f aca="false">IF(N$7=YEAR(Endyr),Assm!$L$85*Assm!$L$80,0)</f>
        <v>0</v>
      </c>
      <c r="O15" s="306" t="n">
        <f aca="false">IF(O$7=YEAR(Endyr),Assm!$L$85*Assm!$L$80,0)</f>
        <v>0</v>
      </c>
      <c r="P15" s="306" t="n">
        <f aca="false">IF(P$7=YEAR(Endyr),Assm!$L$85*Assm!$L$80,0)</f>
        <v>0</v>
      </c>
      <c r="Q15" s="306" t="n">
        <f aca="false">IF(Q$7=YEAR(Endyr),Assm!$L$85*Assm!$L$80,0)</f>
        <v>0</v>
      </c>
      <c r="R15" s="306" t="n">
        <f aca="false">IF(R$7=YEAR(Endyr),Assm!$L$85*Assm!$L$80,0)</f>
        <v>0</v>
      </c>
      <c r="S15" s="306" t="n">
        <f aca="false">IF(S$7=YEAR(Endyr),Assm!$L$85*Assm!$L$80,0)</f>
        <v>0</v>
      </c>
      <c r="T15" s="306" t="n">
        <f aca="false">IF(T$7=YEAR(Endyr),Assm!$L$85*Assm!$L$80,0)</f>
        <v>0</v>
      </c>
      <c r="U15" s="306" t="n">
        <f aca="false">IF(U$7=YEAR(Endyr),Assm!$L$85*Assm!$L$80,0)</f>
        <v>0</v>
      </c>
      <c r="V15" s="306" t="n">
        <f aca="false">IF(V$7=YEAR(Endyr),Assm!$L$85*Assm!$L$80,0)</f>
        <v>0</v>
      </c>
      <c r="W15" s="306" t="n">
        <f aca="false">IF(W$7=YEAR(Endyr),Assm!$L$85*Assm!$L$80,0)</f>
        <v>0</v>
      </c>
      <c r="X15" s="306" t="n">
        <f aca="false">IF(X$7=YEAR(Endyr),Assm!$L$85*Assm!$L$80,0)</f>
        <v>0</v>
      </c>
      <c r="Y15" s="306" t="n">
        <f aca="false">IF(Y$7=YEAR(Endyr),Assm!$L$85*Assm!$L$80,0)</f>
        <v>0</v>
      </c>
      <c r="Z15" s="306" t="n">
        <f aca="false">IF(Z$7=YEAR(Endyr),Assm!$L$85*Assm!$L$80,0)</f>
        <v>192089.134959179</v>
      </c>
      <c r="AA15" s="307" t="n">
        <f aca="false">SUM(D15:Z15)</f>
        <v>192089.134959179</v>
      </c>
      <c r="AB15" s="307" t="n">
        <f aca="false">$E15+NPV(Disc,$F15:Z15)</f>
        <v>4977.5612352255</v>
      </c>
    </row>
    <row r="16" customFormat="false" ht="12.75" hidden="false" customHeight="false" outlineLevel="0" collapsed="false">
      <c r="A16" s="367"/>
      <c r="B16" s="39" t="s">
        <v>378</v>
      </c>
      <c r="C16" s="39"/>
      <c r="D16" s="368"/>
      <c r="E16" s="61" t="n">
        <f aca="false">SUM(E10:E15)</f>
        <v>-6637.97008564951</v>
      </c>
      <c r="F16" s="61" t="n">
        <f aca="false">SUM(F10:F15)</f>
        <v>-22492.5427415822</v>
      </c>
      <c r="G16" s="61" t="n">
        <f aca="false">SUM(G10:G15)</f>
        <v>0</v>
      </c>
      <c r="H16" s="61" t="n">
        <f aca="false">SUM(H10:H15)</f>
        <v>417.210678711196</v>
      </c>
      <c r="I16" s="61" t="n">
        <f aca="false">SUM(I10:I15)</f>
        <v>-5093.30482979046</v>
      </c>
      <c r="J16" s="61" t="n">
        <f aca="false">SUM(J10:J15)</f>
        <v>-6188.13937756333</v>
      </c>
      <c r="K16" s="61" t="n">
        <f aca="false">SUM(K10:K15)</f>
        <v>-4949.2006012693</v>
      </c>
      <c r="L16" s="61" t="n">
        <f aca="false">SUM(L10:L15)</f>
        <v>-5319.40289573351</v>
      </c>
      <c r="M16" s="61" t="n">
        <f aca="false">SUM(M10:M15)</f>
        <v>-5427.61159749414</v>
      </c>
      <c r="N16" s="61" t="n">
        <f aca="false">SUM(N10:N15)</f>
        <v>-5050.28824629369</v>
      </c>
      <c r="O16" s="61" t="n">
        <f aca="false">SUM(O10:O15)</f>
        <v>-2305.7965460716</v>
      </c>
      <c r="P16" s="61" t="n">
        <f aca="false">SUM(P10:P15)</f>
        <v>410.170382840577</v>
      </c>
      <c r="Q16" s="61" t="n">
        <f aca="false">SUM(Q10:Q15)</f>
        <v>1004.35951229088</v>
      </c>
      <c r="R16" s="61" t="n">
        <f aca="false">SUM(R10:R15)</f>
        <v>817.212767403205</v>
      </c>
      <c r="S16" s="61" t="n">
        <f aca="false">SUM(S10:S15)</f>
        <v>730.163681236224</v>
      </c>
      <c r="T16" s="61" t="n">
        <f aca="false">SUM(T10:T15)</f>
        <v>4340.32698652869</v>
      </c>
      <c r="U16" s="61" t="n">
        <f aca="false">SUM(U10:U15)</f>
        <v>5884.93928418698</v>
      </c>
      <c r="V16" s="61" t="n">
        <f aca="false">SUM(V10:V15)</f>
        <v>8970.15056224336</v>
      </c>
      <c r="W16" s="61" t="n">
        <f aca="false">SUM(W10:W15)</f>
        <v>14737.211053637</v>
      </c>
      <c r="X16" s="61" t="n">
        <f aca="false">SUM(X10:X15)</f>
        <v>15633.9691484768</v>
      </c>
      <c r="Y16" s="61" t="n">
        <f aca="false">SUM(Y10:Y15)</f>
        <v>16378.0626880235</v>
      </c>
      <c r="Z16" s="61" t="n">
        <f aca="false">SUM(Z10:Z15)</f>
        <v>197256.686479527</v>
      </c>
      <c r="AA16" s="304" t="n">
        <f aca="false">SUM(D16:Z16)</f>
        <v>203116.206303658</v>
      </c>
      <c r="AB16" s="304" t="n">
        <f aca="false">SUM(AB10:AB15)</f>
        <v>-28234.245740359</v>
      </c>
      <c r="AD16" s="369"/>
      <c r="AE16" s="369"/>
      <c r="AF16" s="369"/>
      <c r="AG16" s="369"/>
      <c r="AH16" s="369"/>
      <c r="AI16" s="369"/>
      <c r="AJ16" s="369"/>
      <c r="AK16" s="369"/>
      <c r="AL16" s="369"/>
      <c r="AM16" s="369"/>
      <c r="AN16" s="369"/>
      <c r="AO16" s="369"/>
      <c r="AP16" s="369"/>
      <c r="AQ16" s="369"/>
      <c r="AR16" s="369"/>
      <c r="AS16" s="369"/>
      <c r="AT16" s="369"/>
      <c r="AU16" s="369"/>
      <c r="AV16" s="369"/>
      <c r="AW16" s="369"/>
      <c r="AX16" s="369"/>
      <c r="AY16" s="369"/>
      <c r="AZ16" s="369"/>
      <c r="BA16" s="369"/>
      <c r="BB16" s="369"/>
      <c r="BC16" s="369"/>
      <c r="BD16" s="369"/>
      <c r="BE16" s="369"/>
      <c r="BF16" s="369"/>
      <c r="BG16" s="369"/>
      <c r="BH16" s="369"/>
      <c r="BI16" s="369"/>
      <c r="BJ16" s="369"/>
      <c r="BK16" s="369"/>
      <c r="BL16" s="369"/>
      <c r="BM16" s="369"/>
      <c r="BN16" s="369"/>
      <c r="BO16" s="369"/>
      <c r="BP16" s="369"/>
      <c r="BQ16" s="369"/>
      <c r="BR16" s="369"/>
      <c r="BS16" s="369"/>
      <c r="BT16" s="369"/>
      <c r="BU16" s="369"/>
      <c r="BV16" s="369"/>
      <c r="BW16" s="369"/>
      <c r="BX16" s="369"/>
      <c r="BY16" s="369"/>
      <c r="BZ16" s="369"/>
      <c r="CA16" s="369"/>
      <c r="CB16" s="369"/>
      <c r="CC16" s="369"/>
      <c r="CD16" s="369"/>
      <c r="CE16" s="369"/>
      <c r="CF16" s="369"/>
      <c r="CG16" s="369"/>
      <c r="CH16" s="369"/>
      <c r="CI16" s="369"/>
      <c r="CJ16" s="369"/>
      <c r="CK16" s="369"/>
      <c r="CL16" s="369"/>
      <c r="CM16" s="369"/>
      <c r="CN16" s="369"/>
      <c r="CO16" s="369"/>
      <c r="CP16" s="369"/>
      <c r="CQ16" s="369"/>
      <c r="CR16" s="369"/>
      <c r="CS16" s="369"/>
      <c r="CT16" s="369"/>
      <c r="CU16" s="369"/>
      <c r="CV16" s="369"/>
      <c r="CW16" s="369"/>
      <c r="CX16" s="369"/>
      <c r="CY16" s="369"/>
      <c r="CZ16" s="369"/>
      <c r="DA16" s="369"/>
      <c r="DB16" s="369"/>
      <c r="DC16" s="369"/>
      <c r="DD16" s="369"/>
      <c r="DE16" s="369"/>
      <c r="DF16" s="369"/>
      <c r="DG16" s="369"/>
      <c r="DH16" s="369"/>
      <c r="DI16" s="369"/>
      <c r="DJ16" s="369"/>
      <c r="DK16" s="369"/>
      <c r="DL16" s="369"/>
      <c r="DM16" s="369"/>
      <c r="DN16" s="369"/>
      <c r="DO16" s="369"/>
      <c r="DP16" s="369"/>
      <c r="DQ16" s="369"/>
      <c r="DR16" s="369"/>
      <c r="DS16" s="369"/>
      <c r="DT16" s="369"/>
      <c r="DU16" s="369"/>
      <c r="DV16" s="369"/>
      <c r="DW16" s="369"/>
      <c r="DX16" s="369"/>
      <c r="DY16" s="369"/>
      <c r="DZ16" s="369"/>
      <c r="EA16" s="369"/>
      <c r="EB16" s="369"/>
      <c r="EC16" s="369"/>
      <c r="ED16" s="369"/>
      <c r="EE16" s="369"/>
      <c r="EF16" s="369"/>
      <c r="EG16" s="369"/>
      <c r="EH16" s="369"/>
      <c r="EI16" s="369"/>
      <c r="EJ16" s="369"/>
      <c r="EK16" s="369"/>
      <c r="EL16" s="369"/>
      <c r="EM16" s="369"/>
      <c r="EN16" s="369"/>
      <c r="EO16" s="369"/>
      <c r="EP16" s="369"/>
      <c r="EQ16" s="369"/>
      <c r="ER16" s="369"/>
      <c r="ES16" s="369"/>
      <c r="ET16" s="369"/>
      <c r="EU16" s="369"/>
      <c r="EV16" s="369"/>
      <c r="EW16" s="369"/>
      <c r="EX16" s="369"/>
      <c r="EY16" s="369"/>
      <c r="EZ16" s="369"/>
      <c r="FA16" s="369"/>
      <c r="FB16" s="369"/>
      <c r="FC16" s="369"/>
      <c r="FD16" s="369"/>
      <c r="FE16" s="369"/>
      <c r="FF16" s="369"/>
      <c r="FG16" s="369"/>
      <c r="FH16" s="369"/>
      <c r="FI16" s="369"/>
      <c r="FJ16" s="369"/>
      <c r="FK16" s="369"/>
      <c r="FL16" s="369"/>
      <c r="FM16" s="369"/>
      <c r="FN16" s="369"/>
      <c r="FO16" s="369"/>
      <c r="FP16" s="369"/>
      <c r="FQ16" s="369"/>
      <c r="FR16" s="369"/>
      <c r="FS16" s="369"/>
      <c r="FT16" s="369"/>
      <c r="FU16" s="369"/>
      <c r="FV16" s="369"/>
      <c r="FW16" s="369"/>
      <c r="FX16" s="369"/>
      <c r="FY16" s="369"/>
      <c r="FZ16" s="369"/>
      <c r="GA16" s="369"/>
      <c r="GB16" s="369"/>
      <c r="GC16" s="369"/>
      <c r="GD16" s="369"/>
      <c r="GE16" s="369"/>
      <c r="GF16" s="369"/>
      <c r="GG16" s="369"/>
      <c r="GH16" s="369"/>
      <c r="GI16" s="369"/>
      <c r="GJ16" s="369"/>
      <c r="GK16" s="369"/>
      <c r="GL16" s="369"/>
      <c r="GM16" s="369"/>
      <c r="GN16" s="369"/>
      <c r="GO16" s="369"/>
      <c r="GP16" s="369"/>
      <c r="GQ16" s="369"/>
      <c r="GR16" s="369"/>
      <c r="GS16" s="369"/>
      <c r="GT16" s="369"/>
      <c r="GU16" s="369"/>
      <c r="GV16" s="369"/>
      <c r="GW16" s="369"/>
      <c r="GX16" s="369"/>
      <c r="GY16" s="369"/>
      <c r="GZ16" s="369"/>
      <c r="HA16" s="369"/>
      <c r="HB16" s="369"/>
      <c r="HC16" s="369"/>
      <c r="HD16" s="369"/>
      <c r="HE16" s="369"/>
      <c r="HF16" s="369"/>
      <c r="HG16" s="369"/>
      <c r="HH16" s="369"/>
      <c r="HI16" s="369"/>
      <c r="HJ16" s="369"/>
      <c r="HK16" s="369"/>
      <c r="HL16" s="369"/>
      <c r="HM16" s="369"/>
      <c r="HN16" s="369"/>
      <c r="HO16" s="369"/>
      <c r="HP16" s="369"/>
      <c r="HQ16" s="369"/>
      <c r="HR16" s="369"/>
      <c r="HS16" s="369"/>
      <c r="HT16" s="369"/>
      <c r="HU16" s="369"/>
      <c r="HV16" s="369"/>
      <c r="HW16" s="369"/>
      <c r="HX16" s="369"/>
      <c r="HY16" s="369"/>
      <c r="HZ16" s="369"/>
      <c r="IA16" s="369"/>
      <c r="IB16" s="369"/>
      <c r="IC16" s="369"/>
      <c r="ID16" s="369"/>
      <c r="IE16" s="369"/>
      <c r="IF16" s="369"/>
      <c r="IG16" s="369"/>
      <c r="IH16" s="369"/>
      <c r="II16" s="369"/>
      <c r="IJ16" s="369"/>
      <c r="IK16" s="369"/>
      <c r="IL16" s="369"/>
      <c r="IM16" s="369"/>
      <c r="IN16" s="369"/>
      <c r="IO16" s="369"/>
      <c r="IP16" s="369"/>
      <c r="IQ16" s="369"/>
      <c r="IR16" s="369"/>
      <c r="IS16" s="369"/>
      <c r="IT16" s="369"/>
      <c r="IU16" s="369"/>
      <c r="IV16" s="369"/>
      <c r="IW16" s="369"/>
    </row>
    <row r="17" customFormat="false" ht="12.75" hidden="false" customHeight="false" outlineLevel="0" collapsed="false">
      <c r="A17" s="367"/>
      <c r="B17" s="39"/>
      <c r="C17" s="39"/>
      <c r="D17" s="368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7"/>
      <c r="AB17" s="370"/>
      <c r="AD17" s="369"/>
      <c r="AE17" s="369"/>
      <c r="AF17" s="369"/>
      <c r="AG17" s="369"/>
      <c r="AH17" s="369"/>
      <c r="AI17" s="369"/>
      <c r="AJ17" s="369"/>
      <c r="AK17" s="369"/>
      <c r="AL17" s="369"/>
      <c r="AM17" s="369"/>
      <c r="AN17" s="369"/>
      <c r="AO17" s="369"/>
      <c r="AP17" s="369"/>
      <c r="AQ17" s="369"/>
      <c r="AR17" s="369"/>
      <c r="AS17" s="369"/>
      <c r="AT17" s="369"/>
      <c r="AU17" s="369"/>
      <c r="AV17" s="369"/>
      <c r="AW17" s="369"/>
      <c r="AX17" s="369"/>
      <c r="AY17" s="369"/>
      <c r="AZ17" s="369"/>
      <c r="BA17" s="369"/>
      <c r="BB17" s="369"/>
      <c r="BC17" s="369"/>
      <c r="BD17" s="369"/>
      <c r="BE17" s="369"/>
      <c r="BF17" s="369"/>
      <c r="BG17" s="369"/>
      <c r="BH17" s="369"/>
      <c r="BI17" s="369"/>
      <c r="BJ17" s="369"/>
      <c r="BK17" s="369"/>
      <c r="BL17" s="369"/>
      <c r="BM17" s="369"/>
      <c r="BN17" s="369"/>
      <c r="BO17" s="369"/>
      <c r="BP17" s="369"/>
      <c r="BQ17" s="369"/>
      <c r="BR17" s="369"/>
      <c r="BS17" s="369"/>
      <c r="BT17" s="369"/>
      <c r="BU17" s="369"/>
      <c r="BV17" s="369"/>
      <c r="BW17" s="369"/>
      <c r="BX17" s="369"/>
      <c r="BY17" s="369"/>
      <c r="BZ17" s="369"/>
      <c r="CA17" s="369"/>
      <c r="CB17" s="369"/>
      <c r="CC17" s="369"/>
      <c r="CD17" s="369"/>
      <c r="CE17" s="369"/>
      <c r="CF17" s="369"/>
      <c r="CG17" s="369"/>
      <c r="CH17" s="369"/>
      <c r="CI17" s="369"/>
      <c r="CJ17" s="369"/>
      <c r="CK17" s="369"/>
      <c r="CL17" s="369"/>
      <c r="CM17" s="369"/>
      <c r="CN17" s="369"/>
      <c r="CO17" s="369"/>
      <c r="CP17" s="369"/>
      <c r="CQ17" s="369"/>
      <c r="CR17" s="369"/>
      <c r="CS17" s="369"/>
      <c r="CT17" s="369"/>
      <c r="CU17" s="369"/>
      <c r="CV17" s="369"/>
      <c r="CW17" s="369"/>
      <c r="CX17" s="369"/>
      <c r="CY17" s="369"/>
      <c r="CZ17" s="369"/>
      <c r="DA17" s="369"/>
      <c r="DB17" s="369"/>
      <c r="DC17" s="369"/>
      <c r="DD17" s="369"/>
      <c r="DE17" s="369"/>
      <c r="DF17" s="369"/>
      <c r="DG17" s="369"/>
      <c r="DH17" s="369"/>
      <c r="DI17" s="369"/>
      <c r="DJ17" s="369"/>
      <c r="DK17" s="369"/>
      <c r="DL17" s="369"/>
      <c r="DM17" s="369"/>
      <c r="DN17" s="369"/>
      <c r="DO17" s="369"/>
      <c r="DP17" s="369"/>
      <c r="DQ17" s="369"/>
      <c r="DR17" s="369"/>
      <c r="DS17" s="369"/>
      <c r="DT17" s="369"/>
      <c r="DU17" s="369"/>
      <c r="DV17" s="369"/>
      <c r="DW17" s="369"/>
      <c r="DX17" s="369"/>
      <c r="DY17" s="369"/>
      <c r="DZ17" s="369"/>
      <c r="EA17" s="369"/>
      <c r="EB17" s="369"/>
      <c r="EC17" s="369"/>
      <c r="ED17" s="369"/>
      <c r="EE17" s="369"/>
      <c r="EF17" s="369"/>
      <c r="EG17" s="369"/>
      <c r="EH17" s="369"/>
      <c r="EI17" s="369"/>
      <c r="EJ17" s="369"/>
      <c r="EK17" s="369"/>
      <c r="EL17" s="369"/>
      <c r="EM17" s="369"/>
      <c r="EN17" s="369"/>
      <c r="EO17" s="369"/>
      <c r="EP17" s="369"/>
      <c r="EQ17" s="369"/>
      <c r="ER17" s="369"/>
      <c r="ES17" s="369"/>
      <c r="ET17" s="369"/>
      <c r="EU17" s="369"/>
      <c r="EV17" s="369"/>
      <c r="EW17" s="369"/>
      <c r="EX17" s="369"/>
      <c r="EY17" s="369"/>
      <c r="EZ17" s="369"/>
      <c r="FA17" s="369"/>
      <c r="FB17" s="369"/>
      <c r="FC17" s="369"/>
      <c r="FD17" s="369"/>
      <c r="FE17" s="369"/>
      <c r="FF17" s="369"/>
      <c r="FG17" s="369"/>
      <c r="FH17" s="369"/>
      <c r="FI17" s="369"/>
      <c r="FJ17" s="369"/>
      <c r="FK17" s="369"/>
      <c r="FL17" s="369"/>
      <c r="FM17" s="369"/>
      <c r="FN17" s="369"/>
      <c r="FO17" s="369"/>
      <c r="FP17" s="369"/>
      <c r="FQ17" s="369"/>
      <c r="FR17" s="369"/>
      <c r="FS17" s="369"/>
      <c r="FT17" s="369"/>
      <c r="FU17" s="369"/>
      <c r="FV17" s="369"/>
      <c r="FW17" s="369"/>
      <c r="FX17" s="369"/>
      <c r="FY17" s="369"/>
      <c r="FZ17" s="369"/>
      <c r="GA17" s="369"/>
      <c r="GB17" s="369"/>
      <c r="GC17" s="369"/>
      <c r="GD17" s="369"/>
      <c r="GE17" s="369"/>
      <c r="GF17" s="369"/>
      <c r="GG17" s="369"/>
      <c r="GH17" s="369"/>
      <c r="GI17" s="369"/>
      <c r="GJ17" s="369"/>
      <c r="GK17" s="369"/>
      <c r="GL17" s="369"/>
      <c r="GM17" s="369"/>
      <c r="GN17" s="369"/>
      <c r="GO17" s="369"/>
      <c r="GP17" s="369"/>
      <c r="GQ17" s="369"/>
      <c r="GR17" s="369"/>
      <c r="GS17" s="369"/>
      <c r="GT17" s="369"/>
      <c r="GU17" s="369"/>
      <c r="GV17" s="369"/>
      <c r="GW17" s="369"/>
      <c r="GX17" s="369"/>
      <c r="GY17" s="369"/>
      <c r="GZ17" s="369"/>
      <c r="HA17" s="369"/>
      <c r="HB17" s="369"/>
      <c r="HC17" s="369"/>
      <c r="HD17" s="369"/>
      <c r="HE17" s="369"/>
      <c r="HF17" s="369"/>
      <c r="HG17" s="369"/>
      <c r="HH17" s="369"/>
      <c r="HI17" s="369"/>
      <c r="HJ17" s="369"/>
      <c r="HK17" s="369"/>
      <c r="HL17" s="369"/>
      <c r="HM17" s="369"/>
      <c r="HN17" s="369"/>
      <c r="HO17" s="369"/>
      <c r="HP17" s="369"/>
      <c r="HQ17" s="369"/>
      <c r="HR17" s="369"/>
      <c r="HS17" s="369"/>
      <c r="HT17" s="369"/>
      <c r="HU17" s="369"/>
      <c r="HV17" s="369"/>
      <c r="HW17" s="369"/>
      <c r="HX17" s="369"/>
      <c r="HY17" s="369"/>
      <c r="HZ17" s="369"/>
      <c r="IA17" s="369"/>
      <c r="IB17" s="369"/>
      <c r="IC17" s="369"/>
      <c r="ID17" s="369"/>
      <c r="IE17" s="369"/>
      <c r="IF17" s="369"/>
      <c r="IG17" s="369"/>
      <c r="IH17" s="369"/>
      <c r="II17" s="369"/>
      <c r="IJ17" s="369"/>
      <c r="IK17" s="369"/>
      <c r="IL17" s="369"/>
      <c r="IM17" s="369"/>
      <c r="IN17" s="369"/>
      <c r="IO17" s="369"/>
      <c r="IP17" s="369"/>
      <c r="IQ17" s="369"/>
      <c r="IR17" s="369"/>
      <c r="IS17" s="369"/>
      <c r="IT17" s="369"/>
      <c r="IU17" s="369"/>
      <c r="IV17" s="369"/>
      <c r="IW17" s="369"/>
    </row>
    <row r="18" customFormat="false" ht="12.75" hidden="false" customHeight="false" outlineLevel="0" collapsed="false">
      <c r="A18" s="138"/>
      <c r="B18" s="39" t="s">
        <v>379</v>
      </c>
      <c r="C18" s="39"/>
      <c r="D18" s="315"/>
      <c r="E18" s="61" t="n">
        <f aca="false">$E16</f>
        <v>-6637.97008564951</v>
      </c>
      <c r="F18" s="61" t="n">
        <f aca="false">$E16+NPV(Disc,$F16:F16)</f>
        <v>-25539.2665071472</v>
      </c>
      <c r="G18" s="61" t="n">
        <f aca="false">$E16+NPV(Disc,$F16:G16)</f>
        <v>-25539.2665071472</v>
      </c>
      <c r="H18" s="61" t="n">
        <f aca="false">$E16+NPV(Disc,$F16:H16)</f>
        <v>-25291.6870925571</v>
      </c>
      <c r="I18" s="61" t="n">
        <f aca="false">$E16+NPV(Disc,$F16:I16)</f>
        <v>-27831.5590525685</v>
      </c>
      <c r="J18" s="61" t="n">
        <f aca="false">$E16+NPV(Disc,$F16:J16)</f>
        <v>-30424.6949659698</v>
      </c>
      <c r="K18" s="61" t="n">
        <f aca="false">$E16+NPV(Disc,$F16:K16)</f>
        <v>-32167.517989981</v>
      </c>
      <c r="L18" s="61" t="n">
        <f aca="false">$E16+NPV(Disc,$F16:L16)</f>
        <v>-33741.6246471278</v>
      </c>
      <c r="M18" s="61" t="n">
        <f aca="false">$E16+NPV(Disc,$F16:M16)</f>
        <v>-35091.3116651408</v>
      </c>
      <c r="N18" s="61" t="n">
        <f aca="false">$E16+NPV(Disc,$F16:N16)</f>
        <v>-36146.6543732853</v>
      </c>
      <c r="O18" s="61" t="n">
        <f aca="false">$E16+NPV(Disc,$F16:O16)</f>
        <v>-36551.5577236825</v>
      </c>
      <c r="P18" s="61" t="n">
        <f aca="false">$E16+NPV(Disc,$F16:P16)</f>
        <v>-36491.0309224259</v>
      </c>
      <c r="Q18" s="61" t="n">
        <f aca="false">$E16+NPV(Disc,$F16:Q16)</f>
        <v>-36366.4861049758</v>
      </c>
      <c r="R18" s="61" t="n">
        <f aca="false">$E16+NPV(Disc,$F16:R16)</f>
        <v>-36281.3282634527</v>
      </c>
      <c r="S18" s="61" t="n">
        <f aca="false">$E16+NPV(Disc,$F16:S16)</f>
        <v>-36217.3897157361</v>
      </c>
      <c r="T18" s="61" t="n">
        <f aca="false">$E16+NPV(Disc,$F16:T16)</f>
        <v>-35898.0021324438</v>
      </c>
      <c r="U18" s="61" t="n">
        <f aca="false">$E16+NPV(Disc,$F16:U16)</f>
        <v>-35534.0949693648</v>
      </c>
      <c r="V18" s="61" t="n">
        <f aca="false">$E16+NPV(Disc,$F16:V16)</f>
        <v>-35067.9710505857</v>
      </c>
      <c r="W18" s="61" t="n">
        <f aca="false">$E16+NPV(Disc,$F16:W16)</f>
        <v>-34424.4392717144</v>
      </c>
      <c r="X18" s="61" t="n">
        <f aca="false">$E16+NPV(Disc,$F16:X16)</f>
        <v>-33850.7496622083</v>
      </c>
      <c r="Y18" s="61" t="n">
        <f aca="false">$E16+NPV(Disc,$F16:Y16)</f>
        <v>-33345.7125404889</v>
      </c>
      <c r="Z18" s="61" t="n">
        <f aca="false">$E16+NPV(Disc,$F16:Z16)</f>
        <v>-28234.245740359</v>
      </c>
      <c r="AA18" s="304"/>
      <c r="AB18" s="298"/>
    </row>
    <row r="19" customFormat="false" ht="12.75" hidden="false" customHeight="false" outlineLevel="0" collapsed="false">
      <c r="A19" s="138"/>
      <c r="B19" s="39" t="s">
        <v>380</v>
      </c>
      <c r="C19" s="39"/>
      <c r="D19" s="107"/>
      <c r="E19" s="107" t="e">
        <f aca="false">IRR($E16:E16,-0.9)</f>
        <v>#N/A</v>
      </c>
      <c r="F19" s="107" t="e">
        <f aca="false">IRR($E16:F16,-0.9)</f>
        <v>#N/A</v>
      </c>
      <c r="G19" s="107" t="e">
        <f aca="false">IRR($E16:G16,-0.9)</f>
        <v>#N/A</v>
      </c>
      <c r="H19" s="107" t="n">
        <f aca="false">IRR($E16:H16,-0.9)</f>
        <v>-0.866413646309507</v>
      </c>
      <c r="I19" s="107" t="e">
        <f aca="false">IRR($E16:I16,-0.9)</f>
        <v>#N/A</v>
      </c>
      <c r="J19" s="107" t="e">
        <f aca="false">IRR($E16:J16,-0.9)</f>
        <v>#N/A</v>
      </c>
      <c r="K19" s="107" t="e">
        <f aca="false">IRR($E16:K16,-0.9)</f>
        <v>#N/A</v>
      </c>
      <c r="L19" s="107" t="e">
        <f aca="false">IRR($E16:L16,-0.9)</f>
        <v>#N/A</v>
      </c>
      <c r="M19" s="107" t="e">
        <f aca="false">IRR($E16:M16,-0.9)</f>
        <v>#N/A</v>
      </c>
      <c r="N19" s="107" t="e">
        <f aca="false">IRR($E16:N16,-0.9)</f>
        <v>#N/A</v>
      </c>
      <c r="O19" s="107" t="e">
        <f aca="false">IRR($E16:O16,-0.9)</f>
        <v>#N/A</v>
      </c>
      <c r="P19" s="107" t="n">
        <f aca="false">IRR($E16:P16,-0.9)</f>
        <v>-0.867128316092288</v>
      </c>
      <c r="Q19" s="107" t="e">
        <f aca="false">IRR($E16:Q16,-0.9)</f>
        <v>#N/A</v>
      </c>
      <c r="R19" s="107" t="e">
        <f aca="false">IRR($E16:R16,-0.9)</f>
        <v>#N/A</v>
      </c>
      <c r="S19" s="107" t="e">
        <f aca="false">IRR($E16:S16,-0.9)</f>
        <v>#N/A</v>
      </c>
      <c r="T19" s="107" t="e">
        <f aca="false">IRR($E16:T16,-0.9)</f>
        <v>#N/A</v>
      </c>
      <c r="U19" s="107" t="e">
        <f aca="false">IRR($E16:U16,-0.9)</f>
        <v>#N/A</v>
      </c>
      <c r="V19" s="107" t="e">
        <f aca="false">IRR($E16:V16,-0.9)</f>
        <v>#N/A</v>
      </c>
      <c r="W19" s="107" t="e">
        <f aca="false">IRR($E16:W16,-0.9)</f>
        <v>#N/A</v>
      </c>
      <c r="X19" s="107" t="e">
        <f aca="false">IRR($E16:X16,-0.9)</f>
        <v>#N/A</v>
      </c>
      <c r="Y19" s="107" t="e">
        <f aca="false">IRR($E16:Y16,-0.9)</f>
        <v>#N/A</v>
      </c>
      <c r="Z19" s="107" t="e">
        <f aca="false">IRR($E16:Z16,-0.9)</f>
        <v>#N/A</v>
      </c>
      <c r="AA19" s="298"/>
      <c r="AB19" s="371" t="n">
        <f aca="false">IRR(E16:Z16)</f>
        <v>0.0909136813663655</v>
      </c>
    </row>
    <row r="20" customFormat="false" ht="12.75" hidden="false" customHeight="false" outlineLevel="0" collapsed="false">
      <c r="A20" s="138"/>
      <c r="B20" s="39"/>
      <c r="C20" s="39"/>
      <c r="D20" s="372"/>
      <c r="E20" s="373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2"/>
      <c r="V20" s="372"/>
      <c r="W20" s="372"/>
      <c r="X20" s="372"/>
      <c r="Y20" s="372"/>
      <c r="Z20" s="372"/>
      <c r="AA20" s="298"/>
      <c r="AB20" s="298"/>
    </row>
    <row r="21" customFormat="false" ht="12.75" hidden="false" customHeight="false" outlineLevel="0" collapsed="false">
      <c r="A21" s="138"/>
      <c r="B21" s="374" t="str">
        <f aca="false">CONCATENATE("Project NPV @ ",TEXT(Disc,"0.0%")," w/o TC")</f>
        <v>Project NPV @ 19.0% w/o TC</v>
      </c>
      <c r="C21" s="375" t="n">
        <f aca="false">AB16</f>
        <v>-28234.245740359</v>
      </c>
      <c r="D21" s="39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2"/>
      <c r="V21" s="372"/>
      <c r="W21" s="372"/>
      <c r="X21" s="372"/>
      <c r="Y21" s="372"/>
      <c r="Z21" s="372"/>
      <c r="AA21" s="298"/>
      <c r="AB21" s="298"/>
    </row>
    <row r="22" customFormat="false" ht="12.75" hidden="false" customHeight="false" outlineLevel="0" collapsed="false">
      <c r="A22" s="138"/>
      <c r="B22" s="376" t="s">
        <v>381</v>
      </c>
      <c r="C22" s="377" t="n">
        <f aca="false">AB19</f>
        <v>0.0909136813663655</v>
      </c>
      <c r="D22" s="39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2"/>
      <c r="Y22" s="372"/>
      <c r="Z22" s="372"/>
      <c r="AA22" s="298"/>
      <c r="AB22" s="298"/>
    </row>
    <row r="23" customFormat="false" ht="13.5" hidden="false" customHeight="false" outlineLevel="0" collapsed="false">
      <c r="A23" s="225"/>
      <c r="B23" s="378" t="s">
        <v>382</v>
      </c>
      <c r="C23" s="379" t="n">
        <f aca="false">MAX(E23:Z23)</f>
        <v>0</v>
      </c>
      <c r="D23" s="380"/>
      <c r="E23" s="380" t="n">
        <f aca="false">IF(AND(E18&gt;0,D18&lt;0),E$6,0)</f>
        <v>0</v>
      </c>
      <c r="F23" s="380" t="n">
        <f aca="false">IF(AND(F18&gt;0,E18&lt;0),F$6,0)</f>
        <v>0</v>
      </c>
      <c r="G23" s="380" t="n">
        <f aca="false">IF(AND(G18&gt;0,F18&lt;0),G$6,0)</f>
        <v>0</v>
      </c>
      <c r="H23" s="380" t="n">
        <f aca="false">IF(AND(H18&gt;0,G18&lt;0),H$6,0)</f>
        <v>0</v>
      </c>
      <c r="I23" s="380" t="n">
        <f aca="false">IF(AND(I18&gt;0,H18&lt;0),I$6,0)</f>
        <v>0</v>
      </c>
      <c r="J23" s="380" t="n">
        <f aca="false">IF(AND(J18&gt;0,I18&lt;0),J$6,0)</f>
        <v>0</v>
      </c>
      <c r="K23" s="380" t="n">
        <f aca="false">IF(AND(K18&gt;0,J18&lt;0),K$6,0)</f>
        <v>0</v>
      </c>
      <c r="L23" s="380" t="n">
        <f aca="false">IF(AND(L18&gt;0,K18&lt;0),L$6,0)</f>
        <v>0</v>
      </c>
      <c r="M23" s="380" t="n">
        <f aca="false">IF(AND(M18&gt;0,L18&lt;0),M$6,0)</f>
        <v>0</v>
      </c>
      <c r="N23" s="380" t="n">
        <f aca="false">IF(AND(N18&gt;0,M18&lt;0),N$6,0)</f>
        <v>0</v>
      </c>
      <c r="O23" s="380" t="n">
        <f aca="false">IF(AND(O18&gt;0,N18&lt;0),O$6,0)</f>
        <v>0</v>
      </c>
      <c r="P23" s="380" t="n">
        <f aca="false">IF(AND(P18&gt;0,O18&lt;0),P$6,0)</f>
        <v>0</v>
      </c>
      <c r="Q23" s="380" t="n">
        <f aca="false">IF(AND(Q18&gt;0,P18&lt;0),Q$6,0)</f>
        <v>0</v>
      </c>
      <c r="R23" s="380" t="n">
        <f aca="false">IF(AND(R18&gt;0,Q18&lt;0),R$6,0)</f>
        <v>0</v>
      </c>
      <c r="S23" s="380" t="n">
        <f aca="false">IF(AND(S18&gt;0,R18&lt;0),S$6,0)</f>
        <v>0</v>
      </c>
      <c r="T23" s="380" t="n">
        <f aca="false">IF(AND(T18&gt;0,S18&lt;0),T$6,0)</f>
        <v>0</v>
      </c>
      <c r="U23" s="380" t="n">
        <f aca="false">IF(AND(U18&gt;0,T18&lt;0),U$6,0)</f>
        <v>0</v>
      </c>
      <c r="V23" s="380" t="n">
        <f aca="false">IF(AND(V18&gt;0,U18&lt;0),V$6,0)</f>
        <v>0</v>
      </c>
      <c r="W23" s="380" t="n">
        <f aca="false">IF(AND(W18&gt;0,V18&lt;0),W$6,0)</f>
        <v>0</v>
      </c>
      <c r="X23" s="380" t="n">
        <f aca="false">IF(AND(X18&gt;0,W18&lt;0),X$6,0)</f>
        <v>0</v>
      </c>
      <c r="Y23" s="380" t="n">
        <f aca="false">IF(AND(Y18&gt;0,X18&lt;0),Y$6,0)</f>
        <v>0</v>
      </c>
      <c r="Z23" s="380" t="n">
        <f aca="false">IF(AND(Z18&gt;0,Y18&lt;0),Z$6,0)</f>
        <v>0</v>
      </c>
      <c r="AA23" s="349"/>
      <c r="AB23" s="349"/>
    </row>
    <row r="24" customFormat="false" ht="13.5" hidden="false" customHeight="false" outlineLevel="0" collapsed="false">
      <c r="A24" s="47"/>
      <c r="B24" s="39"/>
      <c r="C24" s="39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</row>
    <row r="25" customFormat="false" ht="12.75" hidden="false" customHeight="false" outlineLevel="0" collapsed="false">
      <c r="A25" s="361" t="s">
        <v>383</v>
      </c>
      <c r="B25" s="26"/>
      <c r="C25" s="25"/>
      <c r="D25" s="26"/>
      <c r="E25" s="381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87"/>
      <c r="AB25" s="287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12.75" hidden="false" customHeight="false" outlineLevel="0" collapsed="false">
      <c r="A26" s="382" t="n">
        <f aca="false">Assm!$K$68</f>
        <v>0.5</v>
      </c>
      <c r="B26" s="383" t="s">
        <v>372</v>
      </c>
      <c r="C26" s="383"/>
      <c r="D26" s="384"/>
      <c r="E26" s="385" t="n">
        <f aca="false">E$10*$A26</f>
        <v>-3318.98504282476</v>
      </c>
      <c r="F26" s="385" t="n">
        <f aca="false">F$10*$A26</f>
        <v>-11246.2713707911</v>
      </c>
      <c r="G26" s="385" t="n">
        <f aca="false">G$10*$A26</f>
        <v>-0</v>
      </c>
      <c r="H26" s="385" t="n">
        <f aca="false">H$10*$A26</f>
        <v>-0</v>
      </c>
      <c r="I26" s="385" t="n">
        <f aca="false">I$10*$A26</f>
        <v>-0</v>
      </c>
      <c r="J26" s="385" t="n">
        <f aca="false">J$10*$A26</f>
        <v>-0</v>
      </c>
      <c r="K26" s="385" t="n">
        <f aca="false">K$10*$A26</f>
        <v>-0</v>
      </c>
      <c r="L26" s="385" t="n">
        <f aca="false">L$10*$A26</f>
        <v>-0</v>
      </c>
      <c r="M26" s="385" t="n">
        <f aca="false">M$10*$A26</f>
        <v>-0</v>
      </c>
      <c r="N26" s="385" t="n">
        <f aca="false">N$10*$A26</f>
        <v>-0</v>
      </c>
      <c r="O26" s="385" t="n">
        <f aca="false">O$10*$A26</f>
        <v>-0</v>
      </c>
      <c r="P26" s="385" t="n">
        <f aca="false">P$10*$A26</f>
        <v>-0</v>
      </c>
      <c r="Q26" s="385" t="n">
        <f aca="false">Q$10*$A26</f>
        <v>-0</v>
      </c>
      <c r="R26" s="385" t="n">
        <f aca="false">R$10*$A26</f>
        <v>-0</v>
      </c>
      <c r="S26" s="385" t="n">
        <f aca="false">S$10*$A26</f>
        <v>-0</v>
      </c>
      <c r="T26" s="385" t="n">
        <f aca="false">T$10*$A26</f>
        <v>-0</v>
      </c>
      <c r="U26" s="385" t="n">
        <f aca="false">U$10*$A26</f>
        <v>-0</v>
      </c>
      <c r="V26" s="385" t="n">
        <f aca="false">V$10*$A26</f>
        <v>-0</v>
      </c>
      <c r="W26" s="385" t="n">
        <f aca="false">W$10*$A26</f>
        <v>-0</v>
      </c>
      <c r="X26" s="385" t="n">
        <f aca="false">X$10*$A26</f>
        <v>-0</v>
      </c>
      <c r="Y26" s="385" t="n">
        <f aca="false">Y$10*$A26</f>
        <v>-0</v>
      </c>
      <c r="Z26" s="385" t="n">
        <f aca="false">Z$10*$A26</f>
        <v>-0</v>
      </c>
      <c r="AA26" s="386" t="n">
        <f aca="false">SUM(D26:Z26)</f>
        <v>-14565.2564136159</v>
      </c>
      <c r="AB26" s="386" t="n">
        <f aca="false">$E26+NPV(Disc,$F26:Z26)</f>
        <v>-12769.6332535736</v>
      </c>
      <c r="AC26" s="387"/>
      <c r="AD26" s="387"/>
      <c r="AE26" s="387"/>
      <c r="AF26" s="387"/>
      <c r="AG26" s="387"/>
      <c r="AH26" s="387"/>
      <c r="AI26" s="387"/>
      <c r="AJ26" s="387"/>
      <c r="AK26" s="387"/>
      <c r="AL26" s="387"/>
      <c r="AM26" s="387"/>
      <c r="AN26" s="387"/>
      <c r="AO26" s="387"/>
      <c r="AP26" s="387"/>
      <c r="AQ26" s="387"/>
      <c r="AR26" s="387"/>
      <c r="AS26" s="387"/>
      <c r="AT26" s="387"/>
      <c r="AU26" s="387"/>
      <c r="AV26" s="387"/>
      <c r="AW26" s="387"/>
      <c r="AX26" s="387"/>
      <c r="AY26" s="387"/>
      <c r="AZ26" s="387"/>
      <c r="BA26" s="387"/>
      <c r="BB26" s="387"/>
      <c r="BC26" s="387"/>
      <c r="BD26" s="387"/>
      <c r="BE26" s="387"/>
      <c r="BF26" s="387"/>
      <c r="BG26" s="387"/>
      <c r="BH26" s="387"/>
      <c r="BI26" s="387"/>
      <c r="BJ26" s="387"/>
      <c r="BK26" s="387"/>
      <c r="BL26" s="387"/>
      <c r="BM26" s="387"/>
      <c r="BN26" s="387"/>
      <c r="BO26" s="387"/>
      <c r="BP26" s="387"/>
      <c r="BQ26" s="387"/>
      <c r="BR26" s="387"/>
      <c r="BS26" s="387"/>
      <c r="BT26" s="387"/>
      <c r="BU26" s="387"/>
      <c r="BV26" s="387"/>
      <c r="BW26" s="387"/>
      <c r="BX26" s="387"/>
      <c r="BY26" s="387"/>
      <c r="BZ26" s="387"/>
      <c r="CA26" s="387"/>
      <c r="CB26" s="387"/>
      <c r="CC26" s="387"/>
      <c r="CD26" s="387"/>
      <c r="CE26" s="387"/>
      <c r="CF26" s="387"/>
      <c r="CG26" s="387"/>
      <c r="CH26" s="387"/>
      <c r="CI26" s="387"/>
      <c r="CJ26" s="387"/>
      <c r="CK26" s="387"/>
      <c r="CL26" s="387"/>
      <c r="CM26" s="387"/>
      <c r="CN26" s="387"/>
      <c r="CO26" s="387"/>
      <c r="CP26" s="387"/>
      <c r="CQ26" s="387"/>
      <c r="CR26" s="387"/>
      <c r="CS26" s="387"/>
      <c r="CT26" s="387"/>
      <c r="CU26" s="387"/>
      <c r="CV26" s="387"/>
      <c r="CW26" s="387"/>
      <c r="CX26" s="387"/>
      <c r="CY26" s="387"/>
      <c r="CZ26" s="387"/>
      <c r="DA26" s="387"/>
      <c r="DB26" s="387"/>
      <c r="DC26" s="387"/>
      <c r="DD26" s="387"/>
      <c r="DE26" s="387"/>
      <c r="DF26" s="387"/>
      <c r="DG26" s="387"/>
      <c r="DH26" s="387"/>
      <c r="DI26" s="387"/>
      <c r="DJ26" s="387"/>
      <c r="DK26" s="387"/>
      <c r="DL26" s="387"/>
      <c r="DM26" s="387"/>
      <c r="DN26" s="387"/>
      <c r="DO26" s="387"/>
      <c r="DP26" s="387"/>
      <c r="DQ26" s="387"/>
      <c r="DR26" s="387"/>
      <c r="DS26" s="387"/>
      <c r="DT26" s="387"/>
      <c r="DU26" s="387"/>
      <c r="DV26" s="387"/>
      <c r="DW26" s="387"/>
      <c r="DX26" s="387"/>
      <c r="DY26" s="387"/>
      <c r="DZ26" s="387"/>
      <c r="EA26" s="387"/>
      <c r="EB26" s="387"/>
      <c r="EC26" s="387"/>
      <c r="ED26" s="387"/>
      <c r="EE26" s="387"/>
      <c r="EF26" s="387"/>
      <c r="EG26" s="387"/>
      <c r="EH26" s="387"/>
      <c r="EI26" s="387"/>
      <c r="EJ26" s="387"/>
      <c r="EK26" s="387"/>
      <c r="EL26" s="387"/>
      <c r="EM26" s="387"/>
      <c r="EN26" s="387"/>
      <c r="EO26" s="387"/>
      <c r="EP26" s="387"/>
      <c r="EQ26" s="387"/>
      <c r="ER26" s="387"/>
      <c r="ES26" s="387"/>
      <c r="ET26" s="387"/>
      <c r="EU26" s="387"/>
      <c r="EV26" s="387"/>
      <c r="EW26" s="387"/>
      <c r="EX26" s="387"/>
      <c r="EY26" s="387"/>
      <c r="EZ26" s="387"/>
      <c r="FA26" s="387"/>
      <c r="FB26" s="387"/>
      <c r="FC26" s="387"/>
      <c r="FD26" s="387"/>
      <c r="FE26" s="387"/>
      <c r="FF26" s="387"/>
      <c r="FG26" s="387"/>
      <c r="FH26" s="387"/>
      <c r="FI26" s="387"/>
      <c r="FJ26" s="387"/>
      <c r="FK26" s="387"/>
      <c r="FL26" s="387"/>
      <c r="FM26" s="387"/>
      <c r="FN26" s="387"/>
      <c r="FO26" s="387"/>
      <c r="FP26" s="387"/>
      <c r="FQ26" s="387"/>
      <c r="FR26" s="387"/>
      <c r="FS26" s="387"/>
      <c r="FT26" s="387"/>
      <c r="FU26" s="387"/>
      <c r="FV26" s="387"/>
      <c r="FW26" s="387"/>
      <c r="FX26" s="387"/>
      <c r="FY26" s="387"/>
      <c r="FZ26" s="387"/>
      <c r="GA26" s="387"/>
      <c r="GB26" s="387"/>
      <c r="GC26" s="387"/>
      <c r="GD26" s="387"/>
      <c r="GE26" s="387"/>
      <c r="GF26" s="387"/>
      <c r="GG26" s="387"/>
      <c r="GH26" s="387"/>
      <c r="GI26" s="387"/>
      <c r="GJ26" s="387"/>
      <c r="GK26" s="387"/>
      <c r="GL26" s="387"/>
      <c r="GM26" s="387"/>
      <c r="GN26" s="387"/>
      <c r="GO26" s="387"/>
      <c r="GP26" s="387"/>
      <c r="GQ26" s="387"/>
      <c r="GR26" s="387"/>
      <c r="GS26" s="387"/>
      <c r="GT26" s="387"/>
      <c r="GU26" s="387"/>
      <c r="GV26" s="387"/>
      <c r="GW26" s="387"/>
      <c r="GX26" s="387"/>
      <c r="GY26" s="387"/>
      <c r="GZ26" s="387"/>
      <c r="HA26" s="387"/>
      <c r="HB26" s="387"/>
      <c r="HC26" s="387"/>
      <c r="HD26" s="387"/>
      <c r="HE26" s="387"/>
      <c r="HF26" s="387"/>
      <c r="HG26" s="387"/>
      <c r="HH26" s="387"/>
      <c r="HI26" s="387"/>
      <c r="HJ26" s="387"/>
      <c r="HK26" s="387"/>
      <c r="HL26" s="387"/>
      <c r="HM26" s="387"/>
      <c r="HN26" s="387"/>
      <c r="HO26" s="387"/>
      <c r="HP26" s="387"/>
      <c r="HQ26" s="387"/>
      <c r="HR26" s="387"/>
      <c r="HS26" s="387"/>
      <c r="HT26" s="387"/>
      <c r="HU26" s="387"/>
      <c r="HV26" s="387"/>
      <c r="HW26" s="387"/>
      <c r="HX26" s="387"/>
      <c r="HY26" s="387"/>
      <c r="HZ26" s="387"/>
      <c r="IA26" s="387"/>
      <c r="IB26" s="387"/>
      <c r="IC26" s="387"/>
      <c r="ID26" s="387"/>
      <c r="IE26" s="387"/>
      <c r="IF26" s="387"/>
      <c r="IG26" s="387"/>
      <c r="IH26" s="387"/>
      <c r="II26" s="387"/>
      <c r="IJ26" s="387"/>
      <c r="IK26" s="387"/>
      <c r="IL26" s="387"/>
      <c r="IM26" s="387"/>
      <c r="IN26" s="387"/>
      <c r="IO26" s="387"/>
      <c r="IP26" s="387"/>
      <c r="IQ26" s="387"/>
      <c r="IR26" s="387"/>
      <c r="IS26" s="387"/>
      <c r="IT26" s="387"/>
      <c r="IU26" s="387"/>
      <c r="IV26" s="387"/>
      <c r="IW26" s="387"/>
    </row>
    <row r="27" customFormat="false" ht="12.75" hidden="false" customHeight="false" outlineLevel="0" collapsed="false">
      <c r="A27" s="388" t="n">
        <f aca="false">Assm!$L$68</f>
        <v>0.5</v>
      </c>
      <c r="B27" s="389" t="s">
        <v>373</v>
      </c>
      <c r="C27" s="389"/>
      <c r="D27" s="390"/>
      <c r="E27" s="391" t="n">
        <f aca="false">E$11*$A27</f>
        <v>0</v>
      </c>
      <c r="F27" s="391" t="n">
        <f aca="false">F$11*$A27</f>
        <v>0</v>
      </c>
      <c r="G27" s="391" t="n">
        <f aca="false">G$11*$A27</f>
        <v>0</v>
      </c>
      <c r="H27" s="391" t="n">
        <f aca="false">H$11*$A27</f>
        <v>0</v>
      </c>
      <c r="I27" s="391" t="n">
        <f aca="false">I$11*$A27</f>
        <v>0</v>
      </c>
      <c r="J27" s="391" t="n">
        <f aca="false">J$11*$A27</f>
        <v>0</v>
      </c>
      <c r="K27" s="391" t="n">
        <f aca="false">K$11*$A27</f>
        <v>0</v>
      </c>
      <c r="L27" s="391" t="n">
        <f aca="false">L$11*$A27</f>
        <v>0</v>
      </c>
      <c r="M27" s="391" t="n">
        <f aca="false">M$11*$A27</f>
        <v>0</v>
      </c>
      <c r="N27" s="391" t="n">
        <f aca="false">N$11*$A27</f>
        <v>0</v>
      </c>
      <c r="O27" s="391" t="n">
        <f aca="false">O$11*$A27</f>
        <v>0</v>
      </c>
      <c r="P27" s="391" t="n">
        <f aca="false">P$11*$A27</f>
        <v>0</v>
      </c>
      <c r="Q27" s="391" t="n">
        <f aca="false">Q$11*$A27</f>
        <v>0</v>
      </c>
      <c r="R27" s="391" t="n">
        <f aca="false">R$11*$A27</f>
        <v>0</v>
      </c>
      <c r="S27" s="391" t="n">
        <f aca="false">S$11*$A27</f>
        <v>0</v>
      </c>
      <c r="T27" s="391" t="n">
        <f aca="false">T$11*$A27</f>
        <v>0</v>
      </c>
      <c r="U27" s="391" t="n">
        <f aca="false">U$11*$A27</f>
        <v>0</v>
      </c>
      <c r="V27" s="391" t="n">
        <f aca="false">V$11*$A27</f>
        <v>0</v>
      </c>
      <c r="W27" s="391" t="n">
        <f aca="false">W$11*$A27</f>
        <v>0</v>
      </c>
      <c r="X27" s="391" t="n">
        <f aca="false">X$11*$A27</f>
        <v>2075.17985078893</v>
      </c>
      <c r="Y27" s="391" t="n">
        <f aca="false">Y$11*$A27</f>
        <v>3790.68443276208</v>
      </c>
      <c r="Z27" s="391" t="n">
        <f aca="false">Z$11*$A27</f>
        <v>10253.5017716754</v>
      </c>
      <c r="AA27" s="392" t="n">
        <f aca="false">SUM(D27:Z27)</f>
        <v>16119.3660552264</v>
      </c>
      <c r="AB27" s="392" t="n">
        <f aca="false">$E27+NPV(Disc,$F27:Z27)</f>
        <v>458.735768542024</v>
      </c>
      <c r="AC27" s="393"/>
      <c r="AD27" s="393"/>
      <c r="AE27" s="393"/>
      <c r="AF27" s="393"/>
      <c r="AG27" s="393"/>
      <c r="AH27" s="393"/>
      <c r="AI27" s="393"/>
      <c r="AJ27" s="393"/>
      <c r="AK27" s="393"/>
      <c r="AL27" s="393"/>
      <c r="AM27" s="393"/>
      <c r="AN27" s="393"/>
      <c r="AO27" s="393"/>
      <c r="AP27" s="393"/>
      <c r="AQ27" s="393"/>
      <c r="AR27" s="393"/>
      <c r="AS27" s="393"/>
      <c r="AT27" s="393"/>
      <c r="AU27" s="393"/>
      <c r="AV27" s="393"/>
      <c r="AW27" s="393"/>
      <c r="AX27" s="393"/>
      <c r="AY27" s="393"/>
      <c r="AZ27" s="393"/>
      <c r="BA27" s="393"/>
      <c r="BB27" s="393"/>
      <c r="BC27" s="393"/>
      <c r="BD27" s="393"/>
      <c r="BE27" s="393"/>
      <c r="BF27" s="393"/>
      <c r="BG27" s="393"/>
      <c r="BH27" s="393"/>
      <c r="BI27" s="393"/>
      <c r="BJ27" s="393"/>
      <c r="BK27" s="393"/>
      <c r="BL27" s="393"/>
      <c r="BM27" s="393"/>
      <c r="BN27" s="393"/>
      <c r="BO27" s="393"/>
      <c r="BP27" s="393"/>
      <c r="BQ27" s="393"/>
      <c r="BR27" s="393"/>
      <c r="BS27" s="393"/>
      <c r="BT27" s="393"/>
      <c r="BU27" s="393"/>
      <c r="BV27" s="393"/>
      <c r="BW27" s="393"/>
      <c r="BX27" s="393"/>
      <c r="BY27" s="393"/>
      <c r="BZ27" s="393"/>
      <c r="CA27" s="393"/>
      <c r="CB27" s="393"/>
      <c r="CC27" s="393"/>
      <c r="CD27" s="393"/>
      <c r="CE27" s="393"/>
      <c r="CF27" s="393"/>
      <c r="CG27" s="393"/>
      <c r="CH27" s="393"/>
      <c r="CI27" s="393"/>
      <c r="CJ27" s="393"/>
      <c r="CK27" s="393"/>
      <c r="CL27" s="393"/>
      <c r="CM27" s="393"/>
      <c r="CN27" s="393"/>
      <c r="CO27" s="393"/>
      <c r="CP27" s="393"/>
      <c r="CQ27" s="393"/>
      <c r="CR27" s="393"/>
      <c r="CS27" s="393"/>
      <c r="CT27" s="393"/>
      <c r="CU27" s="393"/>
      <c r="CV27" s="393"/>
      <c r="CW27" s="393"/>
      <c r="CX27" s="393"/>
      <c r="CY27" s="393"/>
      <c r="CZ27" s="393"/>
      <c r="DA27" s="393"/>
      <c r="DB27" s="393"/>
      <c r="DC27" s="393"/>
      <c r="DD27" s="393"/>
      <c r="DE27" s="393"/>
      <c r="DF27" s="393"/>
      <c r="DG27" s="393"/>
      <c r="DH27" s="393"/>
      <c r="DI27" s="393"/>
      <c r="DJ27" s="393"/>
      <c r="DK27" s="393"/>
      <c r="DL27" s="393"/>
      <c r="DM27" s="393"/>
      <c r="DN27" s="393"/>
      <c r="DO27" s="393"/>
      <c r="DP27" s="393"/>
      <c r="DQ27" s="393"/>
      <c r="DR27" s="393"/>
      <c r="DS27" s="393"/>
      <c r="DT27" s="393"/>
      <c r="DU27" s="393"/>
      <c r="DV27" s="393"/>
      <c r="DW27" s="393"/>
      <c r="DX27" s="393"/>
      <c r="DY27" s="393"/>
      <c r="DZ27" s="393"/>
      <c r="EA27" s="393"/>
      <c r="EB27" s="393"/>
      <c r="EC27" s="393"/>
      <c r="ED27" s="393"/>
      <c r="EE27" s="393"/>
      <c r="EF27" s="393"/>
      <c r="EG27" s="393"/>
      <c r="EH27" s="393"/>
      <c r="EI27" s="393"/>
      <c r="EJ27" s="393"/>
      <c r="EK27" s="393"/>
      <c r="EL27" s="393"/>
      <c r="EM27" s="393"/>
      <c r="EN27" s="393"/>
      <c r="EO27" s="393"/>
      <c r="EP27" s="393"/>
      <c r="EQ27" s="393"/>
      <c r="ER27" s="393"/>
      <c r="ES27" s="393"/>
      <c r="ET27" s="393"/>
      <c r="EU27" s="393"/>
      <c r="EV27" s="393"/>
      <c r="EW27" s="393"/>
      <c r="EX27" s="393"/>
      <c r="EY27" s="393"/>
      <c r="EZ27" s="393"/>
      <c r="FA27" s="393"/>
      <c r="FB27" s="393"/>
      <c r="FC27" s="393"/>
      <c r="FD27" s="393"/>
      <c r="FE27" s="393"/>
      <c r="FF27" s="393"/>
      <c r="FG27" s="393"/>
      <c r="FH27" s="393"/>
      <c r="FI27" s="393"/>
      <c r="FJ27" s="393"/>
      <c r="FK27" s="393"/>
      <c r="FL27" s="393"/>
      <c r="FM27" s="393"/>
      <c r="FN27" s="393"/>
      <c r="FO27" s="393"/>
      <c r="FP27" s="393"/>
      <c r="FQ27" s="393"/>
      <c r="FR27" s="393"/>
      <c r="FS27" s="393"/>
      <c r="FT27" s="393"/>
      <c r="FU27" s="393"/>
      <c r="FV27" s="393"/>
      <c r="FW27" s="393"/>
      <c r="FX27" s="393"/>
      <c r="FY27" s="393"/>
      <c r="FZ27" s="393"/>
      <c r="GA27" s="393"/>
      <c r="GB27" s="393"/>
      <c r="GC27" s="393"/>
      <c r="GD27" s="393"/>
      <c r="GE27" s="393"/>
      <c r="GF27" s="393"/>
      <c r="GG27" s="393"/>
      <c r="GH27" s="393"/>
      <c r="GI27" s="393"/>
      <c r="GJ27" s="393"/>
      <c r="GK27" s="393"/>
      <c r="GL27" s="393"/>
      <c r="GM27" s="393"/>
      <c r="GN27" s="393"/>
      <c r="GO27" s="393"/>
      <c r="GP27" s="393"/>
      <c r="GQ27" s="393"/>
      <c r="GR27" s="393"/>
      <c r="GS27" s="393"/>
      <c r="GT27" s="393"/>
      <c r="GU27" s="393"/>
      <c r="GV27" s="393"/>
      <c r="GW27" s="393"/>
      <c r="GX27" s="393"/>
      <c r="GY27" s="393"/>
      <c r="GZ27" s="393"/>
      <c r="HA27" s="393"/>
      <c r="HB27" s="393"/>
      <c r="HC27" s="393"/>
      <c r="HD27" s="393"/>
      <c r="HE27" s="393"/>
      <c r="HF27" s="393"/>
      <c r="HG27" s="393"/>
      <c r="HH27" s="393"/>
      <c r="HI27" s="393"/>
      <c r="HJ27" s="393"/>
      <c r="HK27" s="393"/>
      <c r="HL27" s="393"/>
      <c r="HM27" s="393"/>
      <c r="HN27" s="393"/>
      <c r="HO27" s="393"/>
      <c r="HP27" s="393"/>
      <c r="HQ27" s="393"/>
      <c r="HR27" s="393"/>
      <c r="HS27" s="393"/>
      <c r="HT27" s="393"/>
      <c r="HU27" s="393"/>
      <c r="HV27" s="393"/>
      <c r="HW27" s="393"/>
      <c r="HX27" s="393"/>
      <c r="HY27" s="393"/>
      <c r="HZ27" s="393"/>
      <c r="IA27" s="393"/>
      <c r="IB27" s="393"/>
      <c r="IC27" s="393"/>
      <c r="ID27" s="393"/>
      <c r="IE27" s="393"/>
      <c r="IF27" s="393"/>
      <c r="IG27" s="393"/>
      <c r="IH27" s="393"/>
      <c r="II27" s="393"/>
      <c r="IJ27" s="393"/>
      <c r="IK27" s="393"/>
      <c r="IL27" s="393"/>
      <c r="IM27" s="393"/>
      <c r="IN27" s="393"/>
      <c r="IO27" s="393"/>
      <c r="IP27" s="393"/>
      <c r="IQ27" s="393"/>
      <c r="IR27" s="393"/>
      <c r="IS27" s="393"/>
      <c r="IT27" s="393"/>
      <c r="IU27" s="393"/>
      <c r="IV27" s="393"/>
      <c r="IW27" s="393"/>
    </row>
    <row r="28" customFormat="false" ht="12.75" hidden="false" customHeight="false" outlineLevel="0" collapsed="false">
      <c r="A28" s="394"/>
      <c r="B28" s="389" t="s">
        <v>384</v>
      </c>
      <c r="C28" s="395" t="n">
        <f aca="false">Wh_Div</f>
        <v>0</v>
      </c>
      <c r="D28" s="390"/>
      <c r="E28" s="396" t="n">
        <f aca="false">-E27*$C28</f>
        <v>-0</v>
      </c>
      <c r="F28" s="396" t="n">
        <f aca="false">-F27*$C28</f>
        <v>-0</v>
      </c>
      <c r="G28" s="396" t="n">
        <f aca="false">-G27*$C28</f>
        <v>-0</v>
      </c>
      <c r="H28" s="396" t="n">
        <f aca="false">-H27*$C28</f>
        <v>-0</v>
      </c>
      <c r="I28" s="396" t="n">
        <f aca="false">-I27*$C28</f>
        <v>-0</v>
      </c>
      <c r="J28" s="396" t="n">
        <f aca="false">-J27*$C28</f>
        <v>-0</v>
      </c>
      <c r="K28" s="396" t="n">
        <f aca="false">-K27*$C28</f>
        <v>-0</v>
      </c>
      <c r="L28" s="396" t="n">
        <f aca="false">-L27*$C28</f>
        <v>-0</v>
      </c>
      <c r="M28" s="396" t="n">
        <f aca="false">-M27*$C28</f>
        <v>-0</v>
      </c>
      <c r="N28" s="396" t="n">
        <f aca="false">-N27*$C28</f>
        <v>-0</v>
      </c>
      <c r="O28" s="396" t="n">
        <f aca="false">-O27*$C28</f>
        <v>-0</v>
      </c>
      <c r="P28" s="396" t="n">
        <f aca="false">-P27*$C28</f>
        <v>-0</v>
      </c>
      <c r="Q28" s="396" t="n">
        <f aca="false">-Q27*$C28</f>
        <v>-0</v>
      </c>
      <c r="R28" s="396" t="n">
        <f aca="false">-R27*$C28</f>
        <v>-0</v>
      </c>
      <c r="S28" s="396" t="n">
        <f aca="false">-S27*$C28</f>
        <v>-0</v>
      </c>
      <c r="T28" s="396" t="n">
        <f aca="false">-T27*$C28</f>
        <v>-0</v>
      </c>
      <c r="U28" s="396" t="n">
        <f aca="false">-U27*$C28</f>
        <v>-0</v>
      </c>
      <c r="V28" s="396" t="n">
        <f aca="false">-V27*$C28</f>
        <v>-0</v>
      </c>
      <c r="W28" s="396" t="n">
        <f aca="false">-W27*$C28</f>
        <v>-0</v>
      </c>
      <c r="X28" s="396" t="n">
        <f aca="false">-X27*$C28</f>
        <v>-0</v>
      </c>
      <c r="Y28" s="396" t="n">
        <f aca="false">-Y27*$C28</f>
        <v>-0</v>
      </c>
      <c r="Z28" s="396" t="n">
        <f aca="false">-Z27*$C28</f>
        <v>-0</v>
      </c>
      <c r="AA28" s="392" t="n">
        <f aca="false">SUM(D28:Z28)</f>
        <v>0</v>
      </c>
      <c r="AB28" s="392" t="n">
        <f aca="false">$E28+NPV(Disc,$F28:Z28)</f>
        <v>0</v>
      </c>
      <c r="AC28" s="393"/>
      <c r="AD28" s="393"/>
      <c r="AE28" s="393"/>
      <c r="AF28" s="393"/>
      <c r="AG28" s="393"/>
      <c r="AH28" s="393"/>
      <c r="AI28" s="393"/>
      <c r="AJ28" s="393"/>
      <c r="AK28" s="393"/>
      <c r="AL28" s="393"/>
      <c r="AM28" s="393"/>
      <c r="AN28" s="393"/>
      <c r="AO28" s="393"/>
      <c r="AP28" s="393"/>
      <c r="AQ28" s="393"/>
      <c r="AR28" s="393"/>
      <c r="AS28" s="393"/>
      <c r="AT28" s="393"/>
      <c r="AU28" s="393"/>
      <c r="AV28" s="393"/>
      <c r="AW28" s="393"/>
      <c r="AX28" s="393"/>
      <c r="AY28" s="393"/>
      <c r="AZ28" s="393"/>
      <c r="BA28" s="393"/>
      <c r="BB28" s="393"/>
      <c r="BC28" s="393"/>
      <c r="BD28" s="393"/>
      <c r="BE28" s="393"/>
      <c r="BF28" s="393"/>
      <c r="BG28" s="393"/>
      <c r="BH28" s="393"/>
      <c r="BI28" s="393"/>
      <c r="BJ28" s="393"/>
      <c r="BK28" s="393"/>
      <c r="BL28" s="393"/>
      <c r="BM28" s="393"/>
      <c r="BN28" s="393"/>
      <c r="BO28" s="393"/>
      <c r="BP28" s="393"/>
      <c r="BQ28" s="393"/>
      <c r="BR28" s="393"/>
      <c r="BS28" s="393"/>
      <c r="BT28" s="393"/>
      <c r="BU28" s="393"/>
      <c r="BV28" s="393"/>
      <c r="BW28" s="393"/>
      <c r="BX28" s="393"/>
      <c r="BY28" s="393"/>
      <c r="BZ28" s="393"/>
      <c r="CA28" s="393"/>
      <c r="CB28" s="393"/>
      <c r="CC28" s="393"/>
      <c r="CD28" s="393"/>
      <c r="CE28" s="393"/>
      <c r="CF28" s="393"/>
      <c r="CG28" s="393"/>
      <c r="CH28" s="393"/>
      <c r="CI28" s="393"/>
      <c r="CJ28" s="393"/>
      <c r="CK28" s="393"/>
      <c r="CL28" s="393"/>
      <c r="CM28" s="393"/>
      <c r="CN28" s="393"/>
      <c r="CO28" s="393"/>
      <c r="CP28" s="393"/>
      <c r="CQ28" s="393"/>
      <c r="CR28" s="393"/>
      <c r="CS28" s="393"/>
      <c r="CT28" s="393"/>
      <c r="CU28" s="393"/>
      <c r="CV28" s="393"/>
      <c r="CW28" s="393"/>
      <c r="CX28" s="393"/>
      <c r="CY28" s="393"/>
      <c r="CZ28" s="393"/>
      <c r="DA28" s="393"/>
      <c r="DB28" s="393"/>
      <c r="DC28" s="393"/>
      <c r="DD28" s="393"/>
      <c r="DE28" s="393"/>
      <c r="DF28" s="393"/>
      <c r="DG28" s="393"/>
      <c r="DH28" s="393"/>
      <c r="DI28" s="393"/>
      <c r="DJ28" s="393"/>
      <c r="DK28" s="393"/>
      <c r="DL28" s="393"/>
      <c r="DM28" s="393"/>
      <c r="DN28" s="393"/>
      <c r="DO28" s="393"/>
      <c r="DP28" s="393"/>
      <c r="DQ28" s="393"/>
      <c r="DR28" s="393"/>
      <c r="DS28" s="393"/>
      <c r="DT28" s="393"/>
      <c r="DU28" s="393"/>
      <c r="DV28" s="393"/>
      <c r="DW28" s="393"/>
      <c r="DX28" s="393"/>
      <c r="DY28" s="393"/>
      <c r="DZ28" s="393"/>
      <c r="EA28" s="393"/>
      <c r="EB28" s="393"/>
      <c r="EC28" s="393"/>
      <c r="ED28" s="393"/>
      <c r="EE28" s="393"/>
      <c r="EF28" s="393"/>
      <c r="EG28" s="393"/>
      <c r="EH28" s="393"/>
      <c r="EI28" s="393"/>
      <c r="EJ28" s="393"/>
      <c r="EK28" s="393"/>
      <c r="EL28" s="393"/>
      <c r="EM28" s="393"/>
      <c r="EN28" s="393"/>
      <c r="EO28" s="393"/>
      <c r="EP28" s="393"/>
      <c r="EQ28" s="393"/>
      <c r="ER28" s="393"/>
      <c r="ES28" s="393"/>
      <c r="ET28" s="393"/>
      <c r="EU28" s="393"/>
      <c r="EV28" s="393"/>
      <c r="EW28" s="393"/>
      <c r="EX28" s="393"/>
      <c r="EY28" s="393"/>
      <c r="EZ28" s="393"/>
      <c r="FA28" s="393"/>
      <c r="FB28" s="393"/>
      <c r="FC28" s="393"/>
      <c r="FD28" s="393"/>
      <c r="FE28" s="393"/>
      <c r="FF28" s="393"/>
      <c r="FG28" s="393"/>
      <c r="FH28" s="393"/>
      <c r="FI28" s="393"/>
      <c r="FJ28" s="393"/>
      <c r="FK28" s="393"/>
      <c r="FL28" s="393"/>
      <c r="FM28" s="393"/>
      <c r="FN28" s="393"/>
      <c r="FO28" s="393"/>
      <c r="FP28" s="393"/>
      <c r="FQ28" s="393"/>
      <c r="FR28" s="393"/>
      <c r="FS28" s="393"/>
      <c r="FT28" s="393"/>
      <c r="FU28" s="393"/>
      <c r="FV28" s="393"/>
      <c r="FW28" s="393"/>
      <c r="FX28" s="393"/>
      <c r="FY28" s="393"/>
      <c r="FZ28" s="393"/>
      <c r="GA28" s="393"/>
      <c r="GB28" s="393"/>
      <c r="GC28" s="393"/>
      <c r="GD28" s="393"/>
      <c r="GE28" s="393"/>
      <c r="GF28" s="393"/>
      <c r="GG28" s="393"/>
      <c r="GH28" s="393"/>
      <c r="GI28" s="393"/>
      <c r="GJ28" s="393"/>
      <c r="GK28" s="393"/>
      <c r="GL28" s="393"/>
      <c r="GM28" s="393"/>
      <c r="GN28" s="393"/>
      <c r="GO28" s="393"/>
      <c r="GP28" s="393"/>
      <c r="GQ28" s="393"/>
      <c r="GR28" s="393"/>
      <c r="GS28" s="393"/>
      <c r="GT28" s="393"/>
      <c r="GU28" s="393"/>
      <c r="GV28" s="393"/>
      <c r="GW28" s="393"/>
      <c r="GX28" s="393"/>
      <c r="GY28" s="393"/>
      <c r="GZ28" s="393"/>
      <c r="HA28" s="393"/>
      <c r="HB28" s="393"/>
      <c r="HC28" s="393"/>
      <c r="HD28" s="393"/>
      <c r="HE28" s="393"/>
      <c r="HF28" s="393"/>
      <c r="HG28" s="393"/>
      <c r="HH28" s="393"/>
      <c r="HI28" s="393"/>
      <c r="HJ28" s="393"/>
      <c r="HK28" s="393"/>
      <c r="HL28" s="393"/>
      <c r="HM28" s="393"/>
      <c r="HN28" s="393"/>
      <c r="HO28" s="393"/>
      <c r="HP28" s="393"/>
      <c r="HQ28" s="393"/>
      <c r="HR28" s="393"/>
      <c r="HS28" s="393"/>
      <c r="HT28" s="393"/>
      <c r="HU28" s="393"/>
      <c r="HV28" s="393"/>
      <c r="HW28" s="393"/>
      <c r="HX28" s="393"/>
      <c r="HY28" s="393"/>
      <c r="HZ28" s="393"/>
      <c r="IA28" s="393"/>
      <c r="IB28" s="393"/>
      <c r="IC28" s="393"/>
      <c r="ID28" s="393"/>
      <c r="IE28" s="393"/>
      <c r="IF28" s="393"/>
      <c r="IG28" s="393"/>
      <c r="IH28" s="393"/>
      <c r="II28" s="393"/>
      <c r="IJ28" s="393"/>
      <c r="IK28" s="393"/>
      <c r="IL28" s="393"/>
      <c r="IM28" s="393"/>
      <c r="IN28" s="393"/>
      <c r="IO28" s="393"/>
      <c r="IP28" s="393"/>
      <c r="IQ28" s="393"/>
      <c r="IR28" s="393"/>
      <c r="IS28" s="393"/>
      <c r="IT28" s="393"/>
      <c r="IU28" s="393"/>
      <c r="IV28" s="393"/>
      <c r="IW28" s="393"/>
    </row>
    <row r="29" customFormat="false" ht="12.75" hidden="false" customHeight="false" outlineLevel="0" collapsed="false">
      <c r="A29" s="138"/>
      <c r="B29" s="39" t="s">
        <v>377</v>
      </c>
      <c r="C29" s="155"/>
      <c r="D29" s="364"/>
      <c r="E29" s="229" t="n">
        <f aca="false">E$15*$A27</f>
        <v>0</v>
      </c>
      <c r="F29" s="229" t="n">
        <f aca="false">F$15*$A27</f>
        <v>0</v>
      </c>
      <c r="G29" s="229" t="n">
        <f aca="false">G$15*$A27</f>
        <v>0</v>
      </c>
      <c r="H29" s="229" t="n">
        <f aca="false">H$15*$A27</f>
        <v>0</v>
      </c>
      <c r="I29" s="229" t="n">
        <f aca="false">I$15*$A27</f>
        <v>0</v>
      </c>
      <c r="J29" s="229" t="n">
        <f aca="false">J$15*$A27</f>
        <v>0</v>
      </c>
      <c r="K29" s="229" t="n">
        <f aca="false">K$15*$A27</f>
        <v>0</v>
      </c>
      <c r="L29" s="229" t="n">
        <f aca="false">L$15*$A27</f>
        <v>0</v>
      </c>
      <c r="M29" s="229" t="n">
        <f aca="false">M$15*$A27</f>
        <v>0</v>
      </c>
      <c r="N29" s="229" t="n">
        <f aca="false">N$15*$A27</f>
        <v>0</v>
      </c>
      <c r="O29" s="229" t="n">
        <f aca="false">O$15*$A27</f>
        <v>0</v>
      </c>
      <c r="P29" s="229" t="n">
        <f aca="false">P$15*$A27</f>
        <v>0</v>
      </c>
      <c r="Q29" s="229" t="n">
        <f aca="false">Q$15*$A27</f>
        <v>0</v>
      </c>
      <c r="R29" s="229" t="n">
        <f aca="false">R$15*$A27</f>
        <v>0</v>
      </c>
      <c r="S29" s="229" t="n">
        <f aca="false">S$15*$A27</f>
        <v>0</v>
      </c>
      <c r="T29" s="229" t="n">
        <f aca="false">T$15*$A27</f>
        <v>0</v>
      </c>
      <c r="U29" s="229" t="n">
        <f aca="false">U$15*$A27</f>
        <v>0</v>
      </c>
      <c r="V29" s="229" t="n">
        <f aca="false">V$15*$A27</f>
        <v>0</v>
      </c>
      <c r="W29" s="229" t="n">
        <f aca="false">W$15*$A27</f>
        <v>0</v>
      </c>
      <c r="X29" s="229" t="n">
        <f aca="false">X$15*$A27</f>
        <v>0</v>
      </c>
      <c r="Y29" s="229" t="n">
        <f aca="false">Y$15*$A27</f>
        <v>0</v>
      </c>
      <c r="Z29" s="229" t="n">
        <f aca="false">Z$15*$A27</f>
        <v>96044.5674795895</v>
      </c>
      <c r="AA29" s="304" t="n">
        <f aca="false">SUM(D29:Z29)</f>
        <v>96044.5674795895</v>
      </c>
      <c r="AB29" s="304" t="n">
        <f aca="false">$E29+NPV(Disc,$F29:Z29)</f>
        <v>2488.78061761275</v>
      </c>
    </row>
    <row r="30" customFormat="false" ht="12.75" hidden="false" customHeight="false" outlineLevel="0" collapsed="false">
      <c r="A30" s="394"/>
      <c r="B30" s="389" t="s">
        <v>385</v>
      </c>
      <c r="C30" s="397"/>
      <c r="D30" s="390"/>
      <c r="E30" s="398" t="n">
        <f aca="false">E$14*$A27</f>
        <v>0</v>
      </c>
      <c r="F30" s="398" t="n">
        <f aca="false">F$14*$A27</f>
        <v>0</v>
      </c>
      <c r="G30" s="398" t="n">
        <f aca="false">G$14*$A27</f>
        <v>0</v>
      </c>
      <c r="H30" s="398" t="n">
        <f aca="false">H$14*$A27</f>
        <v>208.605339355598</v>
      </c>
      <c r="I30" s="398" t="n">
        <f aca="false">I$14*$A27</f>
        <v>-2546.65241489523</v>
      </c>
      <c r="J30" s="398" t="n">
        <f aca="false">J$14*$A27</f>
        <v>-3094.06968878166</v>
      </c>
      <c r="K30" s="398" t="n">
        <f aca="false">K$14*$A27</f>
        <v>-2474.60030063465</v>
      </c>
      <c r="L30" s="398" t="n">
        <f aca="false">L$14*$A27</f>
        <v>-2659.70144786676</v>
      </c>
      <c r="M30" s="398" t="n">
        <f aca="false">M$14*$A27</f>
        <v>-2713.80579874707</v>
      </c>
      <c r="N30" s="398" t="n">
        <f aca="false">N$14*$A27</f>
        <v>-2525.14412314684</v>
      </c>
      <c r="O30" s="398" t="n">
        <f aca="false">O$14*$A27</f>
        <v>-896.952653092121</v>
      </c>
      <c r="P30" s="398" t="n">
        <f aca="false">P$14*$A27</f>
        <v>450.93103472288</v>
      </c>
      <c r="Q30" s="398" t="n">
        <f aca="false">Q$14*$A27</f>
        <v>699.419949415542</v>
      </c>
      <c r="R30" s="398" t="n">
        <f aca="false">R$14*$A27</f>
        <v>519.189584236239</v>
      </c>
      <c r="S30" s="398" t="n">
        <f aca="false">S$14*$A27</f>
        <v>350.855828112142</v>
      </c>
      <c r="T30" s="398" t="n">
        <f aca="false">T$14*$A27</f>
        <v>1982.03865316515</v>
      </c>
      <c r="U30" s="398" t="n">
        <f aca="false">U$14*$A27</f>
        <v>2590.49766029319</v>
      </c>
      <c r="V30" s="398" t="n">
        <f aca="false">V$14*$A27</f>
        <v>3902.55323005065</v>
      </c>
      <c r="W30" s="398" t="n">
        <f aca="false">W$14*$A27</f>
        <v>6520.38044806105</v>
      </c>
      <c r="X30" s="398" t="n">
        <f aca="false">X$14*$A27</f>
        <v>4608.56286021346</v>
      </c>
      <c r="Y30" s="398" t="n">
        <f aca="false">Y$14*$A27</f>
        <v>3160.30011609231</v>
      </c>
      <c r="Z30" s="398" t="n">
        <f aca="false">Z$14*$A27</f>
        <v>-8082.40827655388</v>
      </c>
      <c r="AA30" s="392" t="n">
        <f aca="false">SUM(D30:Z30)</f>
        <v>0</v>
      </c>
      <c r="AB30" s="392" t="n">
        <f aca="false">$E30+NPV(Disc,$F30:Z30)</f>
        <v>-4372.41958943948</v>
      </c>
      <c r="AC30" s="393"/>
      <c r="AD30" s="393"/>
      <c r="AE30" s="393"/>
      <c r="AF30" s="393"/>
      <c r="AG30" s="393"/>
      <c r="AH30" s="393"/>
      <c r="AI30" s="393"/>
      <c r="AJ30" s="393"/>
      <c r="AK30" s="393"/>
      <c r="AL30" s="393"/>
      <c r="AM30" s="393"/>
      <c r="AN30" s="393"/>
      <c r="AO30" s="393"/>
      <c r="AP30" s="393"/>
      <c r="AQ30" s="393"/>
      <c r="AR30" s="393"/>
      <c r="AS30" s="393"/>
      <c r="AT30" s="393"/>
      <c r="AU30" s="393"/>
      <c r="AV30" s="393"/>
      <c r="AW30" s="393"/>
      <c r="AX30" s="393"/>
      <c r="AY30" s="393"/>
      <c r="AZ30" s="393"/>
      <c r="BA30" s="393"/>
      <c r="BB30" s="393"/>
      <c r="BC30" s="393"/>
      <c r="BD30" s="393"/>
      <c r="BE30" s="393"/>
      <c r="BF30" s="393"/>
      <c r="BG30" s="393"/>
      <c r="BH30" s="393"/>
      <c r="BI30" s="393"/>
      <c r="BJ30" s="393"/>
      <c r="BK30" s="393"/>
      <c r="BL30" s="393"/>
      <c r="BM30" s="393"/>
      <c r="BN30" s="393"/>
      <c r="BO30" s="393"/>
      <c r="BP30" s="393"/>
      <c r="BQ30" s="393"/>
      <c r="BR30" s="393"/>
      <c r="BS30" s="393"/>
      <c r="BT30" s="393"/>
      <c r="BU30" s="393"/>
      <c r="BV30" s="393"/>
      <c r="BW30" s="393"/>
      <c r="BX30" s="393"/>
      <c r="BY30" s="393"/>
      <c r="BZ30" s="393"/>
      <c r="CA30" s="393"/>
      <c r="CB30" s="393"/>
      <c r="CC30" s="393"/>
      <c r="CD30" s="393"/>
      <c r="CE30" s="393"/>
      <c r="CF30" s="393"/>
      <c r="CG30" s="393"/>
      <c r="CH30" s="393"/>
      <c r="CI30" s="393"/>
      <c r="CJ30" s="393"/>
      <c r="CK30" s="393"/>
      <c r="CL30" s="393"/>
      <c r="CM30" s="393"/>
      <c r="CN30" s="393"/>
      <c r="CO30" s="393"/>
      <c r="CP30" s="393"/>
      <c r="CQ30" s="393"/>
      <c r="CR30" s="393"/>
      <c r="CS30" s="393"/>
      <c r="CT30" s="393"/>
      <c r="CU30" s="393"/>
      <c r="CV30" s="393"/>
      <c r="CW30" s="393"/>
      <c r="CX30" s="393"/>
      <c r="CY30" s="393"/>
      <c r="CZ30" s="393"/>
      <c r="DA30" s="393"/>
      <c r="DB30" s="393"/>
      <c r="DC30" s="393"/>
      <c r="DD30" s="393"/>
      <c r="DE30" s="393"/>
      <c r="DF30" s="393"/>
      <c r="DG30" s="393"/>
      <c r="DH30" s="393"/>
      <c r="DI30" s="393"/>
      <c r="DJ30" s="393"/>
      <c r="DK30" s="393"/>
      <c r="DL30" s="393"/>
      <c r="DM30" s="393"/>
      <c r="DN30" s="393"/>
      <c r="DO30" s="393"/>
      <c r="DP30" s="393"/>
      <c r="DQ30" s="393"/>
      <c r="DR30" s="393"/>
      <c r="DS30" s="393"/>
      <c r="DT30" s="393"/>
      <c r="DU30" s="393"/>
      <c r="DV30" s="393"/>
      <c r="DW30" s="393"/>
      <c r="DX30" s="393"/>
      <c r="DY30" s="393"/>
      <c r="DZ30" s="393"/>
      <c r="EA30" s="393"/>
      <c r="EB30" s="393"/>
      <c r="EC30" s="393"/>
      <c r="ED30" s="393"/>
      <c r="EE30" s="393"/>
      <c r="EF30" s="393"/>
      <c r="EG30" s="393"/>
      <c r="EH30" s="393"/>
      <c r="EI30" s="393"/>
      <c r="EJ30" s="393"/>
      <c r="EK30" s="393"/>
      <c r="EL30" s="393"/>
      <c r="EM30" s="393"/>
      <c r="EN30" s="393"/>
      <c r="EO30" s="393"/>
      <c r="EP30" s="393"/>
      <c r="EQ30" s="393"/>
      <c r="ER30" s="393"/>
      <c r="ES30" s="393"/>
      <c r="ET30" s="393"/>
      <c r="EU30" s="393"/>
      <c r="EV30" s="393"/>
      <c r="EW30" s="393"/>
      <c r="EX30" s="393"/>
      <c r="EY30" s="393"/>
      <c r="EZ30" s="393"/>
      <c r="FA30" s="393"/>
      <c r="FB30" s="393"/>
      <c r="FC30" s="393"/>
      <c r="FD30" s="393"/>
      <c r="FE30" s="393"/>
      <c r="FF30" s="393"/>
      <c r="FG30" s="393"/>
      <c r="FH30" s="393"/>
      <c r="FI30" s="393"/>
      <c r="FJ30" s="393"/>
      <c r="FK30" s="393"/>
      <c r="FL30" s="393"/>
      <c r="FM30" s="393"/>
      <c r="FN30" s="393"/>
      <c r="FO30" s="393"/>
      <c r="FP30" s="393"/>
      <c r="FQ30" s="393"/>
      <c r="FR30" s="393"/>
      <c r="FS30" s="393"/>
      <c r="FT30" s="393"/>
      <c r="FU30" s="393"/>
      <c r="FV30" s="393"/>
      <c r="FW30" s="393"/>
      <c r="FX30" s="393"/>
      <c r="FY30" s="393"/>
      <c r="FZ30" s="393"/>
      <c r="GA30" s="393"/>
      <c r="GB30" s="393"/>
      <c r="GC30" s="393"/>
      <c r="GD30" s="393"/>
      <c r="GE30" s="393"/>
      <c r="GF30" s="393"/>
      <c r="GG30" s="393"/>
      <c r="GH30" s="393"/>
      <c r="GI30" s="393"/>
      <c r="GJ30" s="393"/>
      <c r="GK30" s="393"/>
      <c r="GL30" s="393"/>
      <c r="GM30" s="393"/>
      <c r="GN30" s="393"/>
      <c r="GO30" s="393"/>
      <c r="GP30" s="393"/>
      <c r="GQ30" s="393"/>
      <c r="GR30" s="393"/>
      <c r="GS30" s="393"/>
      <c r="GT30" s="393"/>
      <c r="GU30" s="393"/>
      <c r="GV30" s="393"/>
      <c r="GW30" s="393"/>
      <c r="GX30" s="393"/>
      <c r="GY30" s="393"/>
      <c r="GZ30" s="393"/>
      <c r="HA30" s="393"/>
      <c r="HB30" s="393"/>
      <c r="HC30" s="393"/>
      <c r="HD30" s="393"/>
      <c r="HE30" s="393"/>
      <c r="HF30" s="393"/>
      <c r="HG30" s="393"/>
      <c r="HH30" s="393"/>
      <c r="HI30" s="393"/>
      <c r="HJ30" s="393"/>
      <c r="HK30" s="393"/>
      <c r="HL30" s="393"/>
      <c r="HM30" s="393"/>
      <c r="HN30" s="393"/>
      <c r="HO30" s="393"/>
      <c r="HP30" s="393"/>
      <c r="HQ30" s="393"/>
      <c r="HR30" s="393"/>
      <c r="HS30" s="393"/>
      <c r="HT30" s="393"/>
      <c r="HU30" s="393"/>
      <c r="HV30" s="393"/>
      <c r="HW30" s="393"/>
      <c r="HX30" s="393"/>
      <c r="HY30" s="393"/>
      <c r="HZ30" s="393"/>
      <c r="IA30" s="393"/>
      <c r="IB30" s="393"/>
      <c r="IC30" s="393"/>
      <c r="ID30" s="393"/>
      <c r="IE30" s="393"/>
      <c r="IF30" s="393"/>
      <c r="IG30" s="393"/>
      <c r="IH30" s="393"/>
      <c r="II30" s="393"/>
      <c r="IJ30" s="393"/>
      <c r="IK30" s="393"/>
      <c r="IL30" s="393"/>
      <c r="IM30" s="393"/>
      <c r="IN30" s="393"/>
      <c r="IO30" s="393"/>
      <c r="IP30" s="393"/>
      <c r="IQ30" s="393"/>
      <c r="IR30" s="393"/>
      <c r="IS30" s="393"/>
      <c r="IT30" s="393"/>
      <c r="IU30" s="393"/>
      <c r="IV30" s="393"/>
      <c r="IW30" s="393"/>
    </row>
    <row r="31" customFormat="false" ht="12.75" hidden="false" customHeight="false" outlineLevel="0" collapsed="false">
      <c r="A31" s="394"/>
      <c r="B31" s="389" t="s">
        <v>386</v>
      </c>
      <c r="C31" s="399" t="s">
        <v>235</v>
      </c>
      <c r="D31" s="390"/>
      <c r="E31" s="398" t="n">
        <f aca="false">IF(E$7&lt;YEAR(Startops1),0,-Trapped!D$40*$A27)</f>
        <v>0</v>
      </c>
      <c r="F31" s="398" t="n">
        <f aca="false">IF(F$7&lt;YEAR(Startops1),0,-Trapped!E$40*$A27)</f>
        <v>0</v>
      </c>
      <c r="G31" s="398" t="n">
        <f aca="false">IF(G$7&lt;YEAR(Startops1),0,-Trapped!F$40*$A27)</f>
        <v>0</v>
      </c>
      <c r="H31" s="398" t="n">
        <f aca="false">IF(H$7&lt;YEAR(Startops1),0,-Trapped!G$40*$A27)</f>
        <v>-0</v>
      </c>
      <c r="I31" s="398" t="n">
        <f aca="false">IF(I$7&lt;YEAR(Startops1),0,-Trapped!H$40*$A27)</f>
        <v>-0</v>
      </c>
      <c r="J31" s="398" t="n">
        <f aca="false">IF(J$7&lt;YEAR(Startops1),0,-Trapped!I$40*$A27)</f>
        <v>-12.5163203613359</v>
      </c>
      <c r="K31" s="398" t="n">
        <f aca="false">IF(K$7&lt;YEAR(Startops1),0,-Trapped!J$40*$A27)</f>
        <v>-12.5163203613359</v>
      </c>
      <c r="L31" s="398" t="n">
        <f aca="false">IF(L$7&lt;YEAR(Startops1),0,-Trapped!K$40*$A27)</f>
        <v>140.282824532378</v>
      </c>
      <c r="M31" s="398" t="n">
        <f aca="false">IF(M$7&lt;YEAR(Startops1),0,-Trapped!L$40*$A27)</f>
        <v>325.927005859278</v>
      </c>
      <c r="N31" s="398" t="n">
        <f aca="false">IF(N$7&lt;YEAR(Startops1),0,-Trapped!M$40*$A27)</f>
        <v>474.403023897357</v>
      </c>
      <c r="O31" s="398" t="n">
        <f aca="false">IF(O$7&lt;YEAR(Startops1),0,-Trapped!N$40*$A27)</f>
        <v>633.985110769362</v>
      </c>
      <c r="P31" s="398" t="n">
        <f aca="false">IF(P$7&lt;YEAR(Startops1),0,-Trapped!O$40*$A27)</f>
        <v>796.813458694186</v>
      </c>
      <c r="Q31" s="398" t="n">
        <f aca="false">IF(Q$7&lt;YEAR(Startops1),0,-Trapped!P$40*$A27)</f>
        <v>948.322106082997</v>
      </c>
      <c r="R31" s="398" t="n">
        <f aca="false">IF(R$7&lt;YEAR(Startops1),0,-Trapped!Q$40*$A27)</f>
        <v>975.083403185151</v>
      </c>
      <c r="S31" s="398" t="n">
        <f aca="false">IF(S$7&lt;YEAR(Startops1),0,-Trapped!R$40*$A27)</f>
        <v>933.118206220219</v>
      </c>
      <c r="T31" s="398" t="n">
        <f aca="false">IF(T$7&lt;YEAR(Startops1),0,-Trapped!S$40*$A27)</f>
        <v>901.966831166044</v>
      </c>
      <c r="U31" s="398" t="n">
        <f aca="false">IF(U$7&lt;YEAR(Startops1),0,-Trapped!T$40*$A27)</f>
        <v>880.915481479316</v>
      </c>
      <c r="V31" s="398" t="n">
        <f aca="false">IF(V$7&lt;YEAR(Startops1),0,-Trapped!U$40*$A27)</f>
        <v>761.993162289407</v>
      </c>
      <c r="W31" s="398" t="n">
        <f aca="false">IF(W$7&lt;YEAR(Startops1),0,-Trapped!V$40*$A27)</f>
        <v>606.563302671816</v>
      </c>
      <c r="X31" s="398" t="n">
        <f aca="false">IF(X$7&lt;YEAR(Startops1),0,-Trapped!W$40*$A27)</f>
        <v>372.410108868777</v>
      </c>
      <c r="Y31" s="398" t="n">
        <f aca="false">IF(Y$7&lt;YEAR(Startops1),0,-Trapped!X$40*$A27)</f>
        <v>-18.8127180148864</v>
      </c>
      <c r="Z31" s="398" t="n">
        <f aca="false">IF(Z$7&lt;YEAR(Startops1),0,-Trapped!Y$40*$A27)</f>
        <v>-295.326489627694</v>
      </c>
      <c r="AA31" s="392" t="n">
        <f aca="false">SUM(D31:Z31)</f>
        <v>8412.61217735104</v>
      </c>
      <c r="AB31" s="392" t="n">
        <f aca="false">$E31+NPV(Disc,$F31:Z31)</f>
        <v>934.230392988613</v>
      </c>
      <c r="AC31" s="400"/>
      <c r="AD31" s="393"/>
      <c r="AE31" s="393"/>
      <c r="AF31" s="393"/>
      <c r="AG31" s="393"/>
      <c r="AH31" s="393"/>
      <c r="AI31" s="393"/>
      <c r="AJ31" s="393"/>
      <c r="AK31" s="393"/>
      <c r="AL31" s="393"/>
      <c r="AM31" s="393"/>
      <c r="AN31" s="393"/>
      <c r="AO31" s="393"/>
      <c r="AP31" s="393"/>
      <c r="AQ31" s="393"/>
      <c r="AR31" s="393"/>
      <c r="AS31" s="393"/>
      <c r="AT31" s="393"/>
      <c r="AU31" s="393"/>
      <c r="AV31" s="393"/>
      <c r="AW31" s="393"/>
      <c r="AX31" s="393"/>
      <c r="AY31" s="393"/>
      <c r="AZ31" s="393"/>
      <c r="BA31" s="393"/>
      <c r="BB31" s="393"/>
      <c r="BC31" s="393"/>
      <c r="BD31" s="393"/>
      <c r="BE31" s="393"/>
      <c r="BF31" s="393"/>
      <c r="BG31" s="393"/>
      <c r="BH31" s="393"/>
      <c r="BI31" s="393"/>
      <c r="BJ31" s="393"/>
      <c r="BK31" s="393"/>
      <c r="BL31" s="393"/>
      <c r="BM31" s="393"/>
      <c r="BN31" s="393"/>
      <c r="BO31" s="393"/>
      <c r="BP31" s="393"/>
      <c r="BQ31" s="393"/>
      <c r="BR31" s="393"/>
      <c r="BS31" s="393"/>
      <c r="BT31" s="393"/>
      <c r="BU31" s="393"/>
      <c r="BV31" s="393"/>
      <c r="BW31" s="393"/>
      <c r="BX31" s="393"/>
      <c r="BY31" s="393"/>
      <c r="BZ31" s="393"/>
      <c r="CA31" s="393"/>
      <c r="CB31" s="393"/>
      <c r="CC31" s="393"/>
      <c r="CD31" s="393"/>
      <c r="CE31" s="393"/>
      <c r="CF31" s="393"/>
      <c r="CG31" s="393"/>
      <c r="CH31" s="393"/>
      <c r="CI31" s="393"/>
      <c r="CJ31" s="393"/>
      <c r="CK31" s="393"/>
      <c r="CL31" s="393"/>
      <c r="CM31" s="393"/>
      <c r="CN31" s="393"/>
      <c r="CO31" s="393"/>
      <c r="CP31" s="393"/>
      <c r="CQ31" s="393"/>
      <c r="CR31" s="393"/>
      <c r="CS31" s="393"/>
      <c r="CT31" s="393"/>
      <c r="CU31" s="393"/>
      <c r="CV31" s="393"/>
      <c r="CW31" s="393"/>
      <c r="CX31" s="393"/>
      <c r="CY31" s="393"/>
      <c r="CZ31" s="393"/>
      <c r="DA31" s="393"/>
      <c r="DB31" s="393"/>
      <c r="DC31" s="393"/>
      <c r="DD31" s="393"/>
      <c r="DE31" s="393"/>
      <c r="DF31" s="393"/>
      <c r="DG31" s="393"/>
      <c r="DH31" s="393"/>
      <c r="DI31" s="393"/>
      <c r="DJ31" s="393"/>
      <c r="DK31" s="393"/>
      <c r="DL31" s="393"/>
      <c r="DM31" s="393"/>
      <c r="DN31" s="393"/>
      <c r="DO31" s="393"/>
      <c r="DP31" s="393"/>
      <c r="DQ31" s="393"/>
      <c r="DR31" s="393"/>
      <c r="DS31" s="393"/>
      <c r="DT31" s="393"/>
      <c r="DU31" s="393"/>
      <c r="DV31" s="393"/>
      <c r="DW31" s="393"/>
      <c r="DX31" s="393"/>
      <c r="DY31" s="393"/>
      <c r="DZ31" s="393"/>
      <c r="EA31" s="393"/>
      <c r="EB31" s="393"/>
      <c r="EC31" s="393"/>
      <c r="ED31" s="393"/>
      <c r="EE31" s="393"/>
      <c r="EF31" s="393"/>
      <c r="EG31" s="393"/>
      <c r="EH31" s="393"/>
      <c r="EI31" s="393"/>
      <c r="EJ31" s="393"/>
      <c r="EK31" s="393"/>
      <c r="EL31" s="393"/>
      <c r="EM31" s="393"/>
      <c r="EN31" s="393"/>
      <c r="EO31" s="393"/>
      <c r="EP31" s="393"/>
      <c r="EQ31" s="393"/>
      <c r="ER31" s="393"/>
      <c r="ES31" s="393"/>
      <c r="ET31" s="393"/>
      <c r="EU31" s="393"/>
      <c r="EV31" s="393"/>
      <c r="EW31" s="393"/>
      <c r="EX31" s="393"/>
      <c r="EY31" s="393"/>
      <c r="EZ31" s="393"/>
      <c r="FA31" s="393"/>
      <c r="FB31" s="393"/>
      <c r="FC31" s="393"/>
      <c r="FD31" s="393"/>
      <c r="FE31" s="393"/>
      <c r="FF31" s="393"/>
      <c r="FG31" s="393"/>
      <c r="FH31" s="393"/>
      <c r="FI31" s="393"/>
      <c r="FJ31" s="393"/>
      <c r="FK31" s="393"/>
      <c r="FL31" s="393"/>
      <c r="FM31" s="393"/>
      <c r="FN31" s="393"/>
      <c r="FO31" s="393"/>
      <c r="FP31" s="393"/>
      <c r="FQ31" s="393"/>
      <c r="FR31" s="393"/>
      <c r="FS31" s="393"/>
      <c r="FT31" s="393"/>
      <c r="FU31" s="393"/>
      <c r="FV31" s="393"/>
      <c r="FW31" s="393"/>
      <c r="FX31" s="393"/>
      <c r="FY31" s="393"/>
      <c r="FZ31" s="393"/>
      <c r="GA31" s="393"/>
      <c r="GB31" s="393"/>
      <c r="GC31" s="393"/>
      <c r="GD31" s="393"/>
      <c r="GE31" s="393"/>
      <c r="GF31" s="393"/>
      <c r="GG31" s="393"/>
      <c r="GH31" s="393"/>
      <c r="GI31" s="393"/>
      <c r="GJ31" s="393"/>
      <c r="GK31" s="393"/>
      <c r="GL31" s="393"/>
      <c r="GM31" s="393"/>
      <c r="GN31" s="393"/>
      <c r="GO31" s="393"/>
      <c r="GP31" s="393"/>
      <c r="GQ31" s="393"/>
      <c r="GR31" s="393"/>
      <c r="GS31" s="393"/>
      <c r="GT31" s="393"/>
      <c r="GU31" s="393"/>
      <c r="GV31" s="393"/>
      <c r="GW31" s="393"/>
      <c r="GX31" s="393"/>
      <c r="GY31" s="393"/>
      <c r="GZ31" s="393"/>
      <c r="HA31" s="393"/>
      <c r="HB31" s="393"/>
      <c r="HC31" s="393"/>
      <c r="HD31" s="393"/>
      <c r="HE31" s="393"/>
      <c r="HF31" s="393"/>
      <c r="HG31" s="393"/>
      <c r="HH31" s="393"/>
      <c r="HI31" s="393"/>
      <c r="HJ31" s="393"/>
      <c r="HK31" s="393"/>
      <c r="HL31" s="393"/>
      <c r="HM31" s="393"/>
      <c r="HN31" s="393"/>
      <c r="HO31" s="393"/>
      <c r="HP31" s="393"/>
      <c r="HQ31" s="393"/>
      <c r="HR31" s="393"/>
      <c r="HS31" s="393"/>
      <c r="HT31" s="393"/>
      <c r="HU31" s="393"/>
      <c r="HV31" s="393"/>
      <c r="HW31" s="393"/>
      <c r="HX31" s="393"/>
      <c r="HY31" s="393"/>
      <c r="HZ31" s="393"/>
      <c r="IA31" s="393"/>
      <c r="IB31" s="393"/>
      <c r="IC31" s="393"/>
      <c r="ID31" s="393"/>
      <c r="IE31" s="393"/>
      <c r="IF31" s="393"/>
      <c r="IG31" s="393"/>
      <c r="IH31" s="393"/>
      <c r="II31" s="393"/>
      <c r="IJ31" s="393"/>
      <c r="IK31" s="393"/>
      <c r="IL31" s="393"/>
      <c r="IM31" s="393"/>
      <c r="IN31" s="393"/>
      <c r="IO31" s="393"/>
      <c r="IP31" s="393"/>
      <c r="IQ31" s="393"/>
      <c r="IR31" s="393"/>
      <c r="IS31" s="393"/>
      <c r="IT31" s="393"/>
      <c r="IU31" s="393"/>
      <c r="IV31" s="393"/>
      <c r="IW31" s="393"/>
    </row>
    <row r="32" customFormat="false" ht="12.75" hidden="false" customHeight="false" outlineLevel="0" collapsed="false">
      <c r="A32" s="394"/>
      <c r="B32" s="389" t="s">
        <v>387</v>
      </c>
      <c r="C32" s="399"/>
      <c r="D32" s="390"/>
      <c r="E32" s="398" t="n">
        <f aca="false">E$12*$A27</f>
        <v>0</v>
      </c>
      <c r="F32" s="398" t="n">
        <f aca="false">F$12*$A27</f>
        <v>0</v>
      </c>
      <c r="G32" s="398" t="n">
        <f aca="false">G$12*$A27</f>
        <v>0</v>
      </c>
      <c r="H32" s="398" t="n">
        <f aca="false">H$12*$A27</f>
        <v>0</v>
      </c>
      <c r="I32" s="398" t="n">
        <f aca="false">I$12*$A27</f>
        <v>0</v>
      </c>
      <c r="J32" s="398" t="n">
        <f aca="false">J$12*$A27</f>
        <v>0</v>
      </c>
      <c r="K32" s="398" t="n">
        <f aca="false">K$12*$A27</f>
        <v>0</v>
      </c>
      <c r="L32" s="398" t="n">
        <f aca="false">L$12*$A27</f>
        <v>0</v>
      </c>
      <c r="M32" s="398" t="n">
        <f aca="false">M$12*$A27</f>
        <v>0</v>
      </c>
      <c r="N32" s="398" t="n">
        <f aca="false">N$12*$A27</f>
        <v>0</v>
      </c>
      <c r="O32" s="398" t="n">
        <f aca="false">O$12*$A27</f>
        <v>-301.112494051388</v>
      </c>
      <c r="P32" s="398" t="n">
        <f aca="false">P$12*$A27</f>
        <v>-289.230403885402</v>
      </c>
      <c r="Q32" s="398" t="n">
        <f aca="false">Q$12*$A27</f>
        <v>-232.047286200118</v>
      </c>
      <c r="R32" s="398" t="n">
        <f aca="false">R$12*$A27</f>
        <v>-130.097882981925</v>
      </c>
      <c r="S32" s="398" t="n">
        <f aca="false">S$12*$A27</f>
        <v>16.7364853011408</v>
      </c>
      <c r="T32" s="398" t="n">
        <f aca="false">T$12*$A27</f>
        <v>221.323341293172</v>
      </c>
      <c r="U32" s="398" t="n">
        <f aca="false">U$12*$A27</f>
        <v>414.084684470947</v>
      </c>
      <c r="V32" s="398" t="n">
        <f aca="false">V$12*$A27</f>
        <v>685.320060083562</v>
      </c>
      <c r="W32" s="398" t="n">
        <f aca="false">W$12*$A27</f>
        <v>997.911857361734</v>
      </c>
      <c r="X32" s="398" t="n">
        <f aca="false">X$12*$A27</f>
        <v>1333.22572145414</v>
      </c>
      <c r="Y32" s="398" t="n">
        <f aca="false">Y$12*$A27</f>
        <v>1456.52564136159</v>
      </c>
      <c r="Z32" s="398" t="n">
        <f aca="false">Z$12*$A27</f>
        <v>485.508547120529</v>
      </c>
      <c r="AA32" s="392" t="n">
        <f aca="false">SUM(D32:Z32)</f>
        <v>4658.14827132798</v>
      </c>
      <c r="AB32" s="392" t="n">
        <f aca="false">$E32+NPV(Disc,$F32:Z32)</f>
        <v>91.0748078574144</v>
      </c>
      <c r="AC32" s="393"/>
      <c r="AD32" s="393"/>
      <c r="AE32" s="393"/>
      <c r="AF32" s="393"/>
      <c r="AG32" s="393"/>
      <c r="AH32" s="393"/>
      <c r="AI32" s="393"/>
      <c r="AJ32" s="393"/>
      <c r="AK32" s="393"/>
      <c r="AL32" s="393"/>
      <c r="AM32" s="393"/>
      <c r="AN32" s="393"/>
      <c r="AO32" s="393"/>
      <c r="AP32" s="393"/>
      <c r="AQ32" s="393"/>
      <c r="AR32" s="393"/>
      <c r="AS32" s="393"/>
      <c r="AT32" s="393"/>
      <c r="AU32" s="393"/>
      <c r="AV32" s="393"/>
      <c r="AW32" s="393"/>
      <c r="AX32" s="393"/>
      <c r="AY32" s="393"/>
      <c r="AZ32" s="393"/>
      <c r="BA32" s="393"/>
      <c r="BB32" s="393"/>
      <c r="BC32" s="393"/>
      <c r="BD32" s="393"/>
      <c r="BE32" s="393"/>
      <c r="BF32" s="393"/>
      <c r="BG32" s="393"/>
      <c r="BH32" s="393"/>
      <c r="BI32" s="393"/>
      <c r="BJ32" s="393"/>
      <c r="BK32" s="393"/>
      <c r="BL32" s="393"/>
      <c r="BM32" s="393"/>
      <c r="BN32" s="393"/>
      <c r="BO32" s="393"/>
      <c r="BP32" s="393"/>
      <c r="BQ32" s="393"/>
      <c r="BR32" s="393"/>
      <c r="BS32" s="393"/>
      <c r="BT32" s="393"/>
      <c r="BU32" s="393"/>
      <c r="BV32" s="393"/>
      <c r="BW32" s="393"/>
      <c r="BX32" s="393"/>
      <c r="BY32" s="393"/>
      <c r="BZ32" s="393"/>
      <c r="CA32" s="393"/>
      <c r="CB32" s="393"/>
      <c r="CC32" s="393"/>
      <c r="CD32" s="393"/>
      <c r="CE32" s="393"/>
      <c r="CF32" s="393"/>
      <c r="CG32" s="393"/>
      <c r="CH32" s="393"/>
      <c r="CI32" s="393"/>
      <c r="CJ32" s="393"/>
      <c r="CK32" s="393"/>
      <c r="CL32" s="393"/>
      <c r="CM32" s="393"/>
      <c r="CN32" s="393"/>
      <c r="CO32" s="393"/>
      <c r="CP32" s="393"/>
      <c r="CQ32" s="393"/>
      <c r="CR32" s="393"/>
      <c r="CS32" s="393"/>
      <c r="CT32" s="393"/>
      <c r="CU32" s="393"/>
      <c r="CV32" s="393"/>
      <c r="CW32" s="393"/>
      <c r="CX32" s="393"/>
      <c r="CY32" s="393"/>
      <c r="CZ32" s="393"/>
      <c r="DA32" s="393"/>
      <c r="DB32" s="393"/>
      <c r="DC32" s="393"/>
      <c r="DD32" s="393"/>
      <c r="DE32" s="393"/>
      <c r="DF32" s="393"/>
      <c r="DG32" s="393"/>
      <c r="DH32" s="393"/>
      <c r="DI32" s="393"/>
      <c r="DJ32" s="393"/>
      <c r="DK32" s="393"/>
      <c r="DL32" s="393"/>
      <c r="DM32" s="393"/>
      <c r="DN32" s="393"/>
      <c r="DO32" s="393"/>
      <c r="DP32" s="393"/>
      <c r="DQ32" s="393"/>
      <c r="DR32" s="393"/>
      <c r="DS32" s="393"/>
      <c r="DT32" s="393"/>
      <c r="DU32" s="393"/>
      <c r="DV32" s="393"/>
      <c r="DW32" s="393"/>
      <c r="DX32" s="393"/>
      <c r="DY32" s="393"/>
      <c r="DZ32" s="393"/>
      <c r="EA32" s="393"/>
      <c r="EB32" s="393"/>
      <c r="EC32" s="393"/>
      <c r="ED32" s="393"/>
      <c r="EE32" s="393"/>
      <c r="EF32" s="393"/>
      <c r="EG32" s="393"/>
      <c r="EH32" s="393"/>
      <c r="EI32" s="393"/>
      <c r="EJ32" s="393"/>
      <c r="EK32" s="393"/>
      <c r="EL32" s="393"/>
      <c r="EM32" s="393"/>
      <c r="EN32" s="393"/>
      <c r="EO32" s="393"/>
      <c r="EP32" s="393"/>
      <c r="EQ32" s="393"/>
      <c r="ER32" s="393"/>
      <c r="ES32" s="393"/>
      <c r="ET32" s="393"/>
      <c r="EU32" s="393"/>
      <c r="EV32" s="393"/>
      <c r="EW32" s="393"/>
      <c r="EX32" s="393"/>
      <c r="EY32" s="393"/>
      <c r="EZ32" s="393"/>
      <c r="FA32" s="393"/>
      <c r="FB32" s="393"/>
      <c r="FC32" s="393"/>
      <c r="FD32" s="393"/>
      <c r="FE32" s="393"/>
      <c r="FF32" s="393"/>
      <c r="FG32" s="393"/>
      <c r="FH32" s="393"/>
      <c r="FI32" s="393"/>
      <c r="FJ32" s="393"/>
      <c r="FK32" s="393"/>
      <c r="FL32" s="393"/>
      <c r="FM32" s="393"/>
      <c r="FN32" s="393"/>
      <c r="FO32" s="393"/>
      <c r="FP32" s="393"/>
      <c r="FQ32" s="393"/>
      <c r="FR32" s="393"/>
      <c r="FS32" s="393"/>
      <c r="FT32" s="393"/>
      <c r="FU32" s="393"/>
      <c r="FV32" s="393"/>
      <c r="FW32" s="393"/>
      <c r="FX32" s="393"/>
      <c r="FY32" s="393"/>
      <c r="FZ32" s="393"/>
      <c r="GA32" s="393"/>
      <c r="GB32" s="393"/>
      <c r="GC32" s="393"/>
      <c r="GD32" s="393"/>
      <c r="GE32" s="393"/>
      <c r="GF32" s="393"/>
      <c r="GG32" s="393"/>
      <c r="GH32" s="393"/>
      <c r="GI32" s="393"/>
      <c r="GJ32" s="393"/>
      <c r="GK32" s="393"/>
      <c r="GL32" s="393"/>
      <c r="GM32" s="393"/>
      <c r="GN32" s="393"/>
      <c r="GO32" s="393"/>
      <c r="GP32" s="393"/>
      <c r="GQ32" s="393"/>
      <c r="GR32" s="393"/>
      <c r="GS32" s="393"/>
      <c r="GT32" s="393"/>
      <c r="GU32" s="393"/>
      <c r="GV32" s="393"/>
      <c r="GW32" s="393"/>
      <c r="GX32" s="393"/>
      <c r="GY32" s="393"/>
      <c r="GZ32" s="393"/>
      <c r="HA32" s="393"/>
      <c r="HB32" s="393"/>
      <c r="HC32" s="393"/>
      <c r="HD32" s="393"/>
      <c r="HE32" s="393"/>
      <c r="HF32" s="393"/>
      <c r="HG32" s="393"/>
      <c r="HH32" s="393"/>
      <c r="HI32" s="393"/>
      <c r="HJ32" s="393"/>
      <c r="HK32" s="393"/>
      <c r="HL32" s="393"/>
      <c r="HM32" s="393"/>
      <c r="HN32" s="393"/>
      <c r="HO32" s="393"/>
      <c r="HP32" s="393"/>
      <c r="HQ32" s="393"/>
      <c r="HR32" s="393"/>
      <c r="HS32" s="393"/>
      <c r="HT32" s="393"/>
      <c r="HU32" s="393"/>
      <c r="HV32" s="393"/>
      <c r="HW32" s="393"/>
      <c r="HX32" s="393"/>
      <c r="HY32" s="393"/>
      <c r="HZ32" s="393"/>
      <c r="IA32" s="393"/>
      <c r="IB32" s="393"/>
      <c r="IC32" s="393"/>
      <c r="ID32" s="393"/>
      <c r="IE32" s="393"/>
      <c r="IF32" s="393"/>
      <c r="IG32" s="393"/>
      <c r="IH32" s="393"/>
      <c r="II32" s="393"/>
      <c r="IJ32" s="393"/>
      <c r="IK32" s="393"/>
      <c r="IL32" s="393"/>
      <c r="IM32" s="393"/>
      <c r="IN32" s="393"/>
      <c r="IO32" s="393"/>
      <c r="IP32" s="393"/>
      <c r="IQ32" s="393"/>
      <c r="IR32" s="393"/>
      <c r="IS32" s="393"/>
      <c r="IT32" s="393"/>
      <c r="IU32" s="393"/>
      <c r="IV32" s="393"/>
      <c r="IW32" s="393"/>
    </row>
    <row r="33" customFormat="false" ht="12.75" hidden="false" customHeight="false" outlineLevel="0" collapsed="false">
      <c r="A33" s="394"/>
      <c r="B33" s="389" t="s">
        <v>375</v>
      </c>
      <c r="C33" s="401" t="n">
        <f aca="false">Wh_Int</f>
        <v>0.15</v>
      </c>
      <c r="D33" s="390"/>
      <c r="E33" s="398" t="n">
        <f aca="false">E13*$A$27</f>
        <v>-0</v>
      </c>
      <c r="F33" s="398" t="n">
        <f aca="false">F13*$A$27</f>
        <v>-0</v>
      </c>
      <c r="G33" s="398" t="n">
        <f aca="false">G13*$A$27</f>
        <v>-0</v>
      </c>
      <c r="H33" s="398" t="n">
        <f aca="false">H13*$A$27</f>
        <v>-0</v>
      </c>
      <c r="I33" s="398" t="n">
        <f aca="false">I13*$A$27</f>
        <v>-0</v>
      </c>
      <c r="J33" s="398" t="n">
        <f aca="false">J13*$A$27</f>
        <v>-0</v>
      </c>
      <c r="K33" s="398" t="n">
        <f aca="false">K13*$A$27</f>
        <v>-0</v>
      </c>
      <c r="L33" s="398" t="n">
        <f aca="false">L13*$A$27</f>
        <v>-0</v>
      </c>
      <c r="M33" s="398" t="n">
        <f aca="false">M13*$A$27</f>
        <v>-0</v>
      </c>
      <c r="N33" s="398" t="n">
        <f aca="false">N13*$A$27</f>
        <v>-0</v>
      </c>
      <c r="O33" s="398" t="n">
        <f aca="false">O13*$A$27</f>
        <v>45.1668741077082</v>
      </c>
      <c r="P33" s="398" t="n">
        <f aca="false">P13*$A$27</f>
        <v>43.3845605828103</v>
      </c>
      <c r="Q33" s="398" t="n">
        <f aca="false">Q13*$A$27</f>
        <v>34.8070929300177</v>
      </c>
      <c r="R33" s="398" t="n">
        <f aca="false">R13*$A$27</f>
        <v>19.5146824472888</v>
      </c>
      <c r="S33" s="398" t="n">
        <f aca="false">S13*$A$27</f>
        <v>-2.51047279517112</v>
      </c>
      <c r="T33" s="398" t="n">
        <f aca="false">T13*$A$27</f>
        <v>-33.1985011939758</v>
      </c>
      <c r="U33" s="398" t="n">
        <f aca="false">U13*$A$27</f>
        <v>-62.112702670642</v>
      </c>
      <c r="V33" s="398" t="n">
        <f aca="false">V13*$A$27</f>
        <v>-102.798009012534</v>
      </c>
      <c r="W33" s="398" t="n">
        <f aca="false">W13*$A$27</f>
        <v>-149.68677860426</v>
      </c>
      <c r="X33" s="398" t="n">
        <f aca="false">X13*$A$27</f>
        <v>-199.983858218121</v>
      </c>
      <c r="Y33" s="398" t="n">
        <f aca="false">Y13*$A$27</f>
        <v>-218.478846204238</v>
      </c>
      <c r="Z33" s="398" t="n">
        <f aca="false">Z13*$A$27</f>
        <v>-72.8262820680793</v>
      </c>
      <c r="AA33" s="392" t="n">
        <f aca="false">SUM(D33:Z33)</f>
        <v>-698.722240699196</v>
      </c>
      <c r="AB33" s="392" t="n">
        <f aca="false">$E33+NPV(Disc,$F33:Z33)</f>
        <v>-13.6612211786122</v>
      </c>
      <c r="AC33" s="393"/>
      <c r="AD33" s="393"/>
      <c r="AE33" s="393"/>
      <c r="AF33" s="393"/>
      <c r="AG33" s="393"/>
      <c r="AH33" s="393"/>
      <c r="AI33" s="393"/>
      <c r="AJ33" s="393"/>
      <c r="AK33" s="393"/>
      <c r="AL33" s="393"/>
      <c r="AM33" s="393"/>
      <c r="AN33" s="393"/>
      <c r="AO33" s="393"/>
      <c r="AP33" s="393"/>
      <c r="AQ33" s="393"/>
      <c r="AR33" s="393"/>
      <c r="AS33" s="393"/>
      <c r="AT33" s="393"/>
      <c r="AU33" s="393"/>
      <c r="AV33" s="393"/>
      <c r="AW33" s="393"/>
      <c r="AX33" s="393"/>
      <c r="AY33" s="393"/>
      <c r="AZ33" s="393"/>
      <c r="BA33" s="393"/>
      <c r="BB33" s="393"/>
      <c r="BC33" s="393"/>
      <c r="BD33" s="393"/>
      <c r="BE33" s="393"/>
      <c r="BF33" s="393"/>
      <c r="BG33" s="393"/>
      <c r="BH33" s="393"/>
      <c r="BI33" s="393"/>
      <c r="BJ33" s="393"/>
      <c r="BK33" s="393"/>
      <c r="BL33" s="393"/>
      <c r="BM33" s="393"/>
      <c r="BN33" s="393"/>
      <c r="BO33" s="393"/>
      <c r="BP33" s="393"/>
      <c r="BQ33" s="393"/>
      <c r="BR33" s="393"/>
      <c r="BS33" s="393"/>
      <c r="BT33" s="393"/>
      <c r="BU33" s="393"/>
      <c r="BV33" s="393"/>
      <c r="BW33" s="393"/>
      <c r="BX33" s="393"/>
      <c r="BY33" s="393"/>
      <c r="BZ33" s="393"/>
      <c r="CA33" s="393"/>
      <c r="CB33" s="393"/>
      <c r="CC33" s="393"/>
      <c r="CD33" s="393"/>
      <c r="CE33" s="393"/>
      <c r="CF33" s="393"/>
      <c r="CG33" s="393"/>
      <c r="CH33" s="393"/>
      <c r="CI33" s="393"/>
      <c r="CJ33" s="393"/>
      <c r="CK33" s="393"/>
      <c r="CL33" s="393"/>
      <c r="CM33" s="393"/>
      <c r="CN33" s="393"/>
      <c r="CO33" s="393"/>
      <c r="CP33" s="393"/>
      <c r="CQ33" s="393"/>
      <c r="CR33" s="393"/>
      <c r="CS33" s="393"/>
      <c r="CT33" s="393"/>
      <c r="CU33" s="393"/>
      <c r="CV33" s="393"/>
      <c r="CW33" s="393"/>
      <c r="CX33" s="393"/>
      <c r="CY33" s="393"/>
      <c r="CZ33" s="393"/>
      <c r="DA33" s="393"/>
      <c r="DB33" s="393"/>
      <c r="DC33" s="393"/>
      <c r="DD33" s="393"/>
      <c r="DE33" s="393"/>
      <c r="DF33" s="393"/>
      <c r="DG33" s="393"/>
      <c r="DH33" s="393"/>
      <c r="DI33" s="393"/>
      <c r="DJ33" s="393"/>
      <c r="DK33" s="393"/>
      <c r="DL33" s="393"/>
      <c r="DM33" s="393"/>
      <c r="DN33" s="393"/>
      <c r="DO33" s="393"/>
      <c r="DP33" s="393"/>
      <c r="DQ33" s="393"/>
      <c r="DR33" s="393"/>
      <c r="DS33" s="393"/>
      <c r="DT33" s="393"/>
      <c r="DU33" s="393"/>
      <c r="DV33" s="393"/>
      <c r="DW33" s="393"/>
      <c r="DX33" s="393"/>
      <c r="DY33" s="393"/>
      <c r="DZ33" s="393"/>
      <c r="EA33" s="393"/>
      <c r="EB33" s="393"/>
      <c r="EC33" s="393"/>
      <c r="ED33" s="393"/>
      <c r="EE33" s="393"/>
      <c r="EF33" s="393"/>
      <c r="EG33" s="393"/>
      <c r="EH33" s="393"/>
      <c r="EI33" s="393"/>
      <c r="EJ33" s="393"/>
      <c r="EK33" s="393"/>
      <c r="EL33" s="393"/>
      <c r="EM33" s="393"/>
      <c r="EN33" s="393"/>
      <c r="EO33" s="393"/>
      <c r="EP33" s="393"/>
      <c r="EQ33" s="393"/>
      <c r="ER33" s="393"/>
      <c r="ES33" s="393"/>
      <c r="ET33" s="393"/>
      <c r="EU33" s="393"/>
      <c r="EV33" s="393"/>
      <c r="EW33" s="393"/>
      <c r="EX33" s="393"/>
      <c r="EY33" s="393"/>
      <c r="EZ33" s="393"/>
      <c r="FA33" s="393"/>
      <c r="FB33" s="393"/>
      <c r="FC33" s="393"/>
      <c r="FD33" s="393"/>
      <c r="FE33" s="393"/>
      <c r="FF33" s="393"/>
      <c r="FG33" s="393"/>
      <c r="FH33" s="393"/>
      <c r="FI33" s="393"/>
      <c r="FJ33" s="393"/>
      <c r="FK33" s="393"/>
      <c r="FL33" s="393"/>
      <c r="FM33" s="393"/>
      <c r="FN33" s="393"/>
      <c r="FO33" s="393"/>
      <c r="FP33" s="393"/>
      <c r="FQ33" s="393"/>
      <c r="FR33" s="393"/>
      <c r="FS33" s="393"/>
      <c r="FT33" s="393"/>
      <c r="FU33" s="393"/>
      <c r="FV33" s="393"/>
      <c r="FW33" s="393"/>
      <c r="FX33" s="393"/>
      <c r="FY33" s="393"/>
      <c r="FZ33" s="393"/>
      <c r="GA33" s="393"/>
      <c r="GB33" s="393"/>
      <c r="GC33" s="393"/>
      <c r="GD33" s="393"/>
      <c r="GE33" s="393"/>
      <c r="GF33" s="393"/>
      <c r="GG33" s="393"/>
      <c r="GH33" s="393"/>
      <c r="GI33" s="393"/>
      <c r="GJ33" s="393"/>
      <c r="GK33" s="393"/>
      <c r="GL33" s="393"/>
      <c r="GM33" s="393"/>
      <c r="GN33" s="393"/>
      <c r="GO33" s="393"/>
      <c r="GP33" s="393"/>
      <c r="GQ33" s="393"/>
      <c r="GR33" s="393"/>
      <c r="GS33" s="393"/>
      <c r="GT33" s="393"/>
      <c r="GU33" s="393"/>
      <c r="GV33" s="393"/>
      <c r="GW33" s="393"/>
      <c r="GX33" s="393"/>
      <c r="GY33" s="393"/>
      <c r="GZ33" s="393"/>
      <c r="HA33" s="393"/>
      <c r="HB33" s="393"/>
      <c r="HC33" s="393"/>
      <c r="HD33" s="393"/>
      <c r="HE33" s="393"/>
      <c r="HF33" s="393"/>
      <c r="HG33" s="393"/>
      <c r="HH33" s="393"/>
      <c r="HI33" s="393"/>
      <c r="HJ33" s="393"/>
      <c r="HK33" s="393"/>
      <c r="HL33" s="393"/>
      <c r="HM33" s="393"/>
      <c r="HN33" s="393"/>
      <c r="HO33" s="393"/>
      <c r="HP33" s="393"/>
      <c r="HQ33" s="393"/>
      <c r="HR33" s="393"/>
      <c r="HS33" s="393"/>
      <c r="HT33" s="393"/>
      <c r="HU33" s="393"/>
      <c r="HV33" s="393"/>
      <c r="HW33" s="393"/>
      <c r="HX33" s="393"/>
      <c r="HY33" s="393"/>
      <c r="HZ33" s="393"/>
      <c r="IA33" s="393"/>
      <c r="IB33" s="393"/>
      <c r="IC33" s="393"/>
      <c r="ID33" s="393"/>
      <c r="IE33" s="393"/>
      <c r="IF33" s="393"/>
      <c r="IG33" s="393"/>
      <c r="IH33" s="393"/>
      <c r="II33" s="393"/>
      <c r="IJ33" s="393"/>
      <c r="IK33" s="393"/>
      <c r="IL33" s="393"/>
      <c r="IM33" s="393"/>
      <c r="IN33" s="393"/>
      <c r="IO33" s="393"/>
      <c r="IP33" s="393"/>
      <c r="IQ33" s="393"/>
      <c r="IR33" s="393"/>
      <c r="IS33" s="393"/>
      <c r="IT33" s="393"/>
      <c r="IU33" s="393"/>
      <c r="IV33" s="393"/>
      <c r="IW33" s="393"/>
    </row>
    <row r="34" customFormat="false" ht="12.75" hidden="false" customHeight="false" outlineLevel="0" collapsed="false">
      <c r="A34" s="402" t="n">
        <f aca="false">Assm!$I$74</f>
        <v>0.2</v>
      </c>
      <c r="B34" s="403" t="s">
        <v>388</v>
      </c>
      <c r="C34" s="404" t="s">
        <v>235</v>
      </c>
      <c r="D34" s="405"/>
      <c r="E34" s="406" t="n">
        <f aca="false">IF(E$7=YEAR(Startops1),Assm!$O$35*$A34,0)</f>
        <v>0</v>
      </c>
      <c r="F34" s="406" t="n">
        <f aca="false">IF(F$7=YEAR(Startops1),Assm!$O$35*$A34,0)</f>
        <v>0</v>
      </c>
      <c r="G34" s="406" t="n">
        <f aca="false">IF(G$7=YEAR(Startops1),Assm!$O$35*$A34,0)</f>
        <v>0</v>
      </c>
      <c r="H34" s="406" t="n">
        <f aca="false">IF(H$7=YEAR(Startops1),Assm!$O$35*$A34,0)</f>
        <v>0</v>
      </c>
      <c r="I34" s="406" t="n">
        <f aca="false">IF(I$7=YEAR(Startops1),Assm!$O$35*$A34,0)</f>
        <v>0</v>
      </c>
      <c r="J34" s="406" t="n">
        <f aca="false">IF(J$7=YEAR(Startops1),Assm!$O$35*$A34,0)</f>
        <v>0</v>
      </c>
      <c r="K34" s="406" t="n">
        <f aca="false">IF(K$7=YEAR(Startops1),Assm!$O$35*$A34,0)</f>
        <v>0</v>
      </c>
      <c r="L34" s="406" t="n">
        <f aca="false">IF(L$7=YEAR(Startops1),Assm!$O$35*$A34,0)</f>
        <v>0</v>
      </c>
      <c r="M34" s="406" t="n">
        <f aca="false">IF(M$7=YEAR(Startops1),Assm!$O$35*$A34,0)</f>
        <v>0</v>
      </c>
      <c r="N34" s="406" t="n">
        <f aca="false">IF(N$7=YEAR(Startops1),Assm!$O$35*$A34,0)</f>
        <v>0</v>
      </c>
      <c r="O34" s="406" t="n">
        <f aca="false">IF(O$7=YEAR(Startops1),Assm!$O$35*$A34,0)</f>
        <v>0</v>
      </c>
      <c r="P34" s="406" t="n">
        <f aca="false">IF(P$7=YEAR(Startops1),Assm!$O$35*$A34,0)</f>
        <v>0</v>
      </c>
      <c r="Q34" s="406" t="n">
        <f aca="false">IF(Q$7=YEAR(Startops1),Assm!$O$35*$A34,0)</f>
        <v>0</v>
      </c>
      <c r="R34" s="406" t="n">
        <f aca="false">IF(R$7=YEAR(Startops1),Assm!$O$35*$A34,0)</f>
        <v>0</v>
      </c>
      <c r="S34" s="406" t="n">
        <f aca="false">IF(S$7=YEAR(Startops1),Assm!$O$35*$A34,0)</f>
        <v>0</v>
      </c>
      <c r="T34" s="406" t="n">
        <f aca="false">IF(T$7=YEAR(Startops1),Assm!$O$35*$A34,0)</f>
        <v>0</v>
      </c>
      <c r="U34" s="406" t="n">
        <f aca="false">IF(U$7=YEAR(Startops1),Assm!$O$35*$A34,0)</f>
        <v>0</v>
      </c>
      <c r="V34" s="406" t="n">
        <f aca="false">IF(V$7=YEAR(Startops1),Assm!$O$35*$A34,0)</f>
        <v>0</v>
      </c>
      <c r="W34" s="406" t="n">
        <f aca="false">IF(W$7=YEAR(Startops1),Assm!$O$35*$A34,0)</f>
        <v>0</v>
      </c>
      <c r="X34" s="406" t="n">
        <f aca="false">IF(X$7=YEAR(Startops1),Assm!$O$35*$A34,0)</f>
        <v>0</v>
      </c>
      <c r="Y34" s="406" t="n">
        <f aca="false">IF(Y$7=YEAR(Startops1),Assm!$O$35*$A34,0)</f>
        <v>0</v>
      </c>
      <c r="Z34" s="406" t="n">
        <f aca="false">IF(Z$7=YEAR(Startops1),Assm!$O$35*$A34,0)</f>
        <v>0</v>
      </c>
      <c r="AA34" s="407" t="n">
        <f aca="false">SUM(D34:Z34)</f>
        <v>0</v>
      </c>
      <c r="AB34" s="407" t="n">
        <f aca="false">$E34+NPV(Disc,$F34:Z34)</f>
        <v>0</v>
      </c>
      <c r="AC34" s="408"/>
      <c r="AD34" s="408"/>
      <c r="AE34" s="408"/>
      <c r="AF34" s="408"/>
      <c r="AG34" s="408"/>
      <c r="AH34" s="408"/>
      <c r="AI34" s="408"/>
      <c r="AJ34" s="408"/>
      <c r="AK34" s="408"/>
      <c r="AL34" s="408"/>
      <c r="AM34" s="408"/>
      <c r="AN34" s="408"/>
      <c r="AO34" s="408"/>
      <c r="AP34" s="408"/>
      <c r="AQ34" s="408"/>
      <c r="AR34" s="408"/>
      <c r="AS34" s="408"/>
      <c r="AT34" s="408"/>
      <c r="AU34" s="408"/>
      <c r="AV34" s="408"/>
      <c r="AW34" s="408"/>
      <c r="AX34" s="408"/>
      <c r="AY34" s="408"/>
      <c r="AZ34" s="408"/>
      <c r="BA34" s="408"/>
      <c r="BB34" s="408"/>
      <c r="BC34" s="408"/>
      <c r="BD34" s="408"/>
      <c r="BE34" s="408"/>
      <c r="BF34" s="408"/>
      <c r="BG34" s="408"/>
      <c r="BH34" s="408"/>
      <c r="BI34" s="408"/>
      <c r="BJ34" s="408"/>
      <c r="BK34" s="408"/>
      <c r="BL34" s="408"/>
      <c r="BM34" s="408"/>
      <c r="BN34" s="408"/>
      <c r="BO34" s="408"/>
      <c r="BP34" s="408"/>
      <c r="BQ34" s="408"/>
      <c r="BR34" s="408"/>
      <c r="BS34" s="408"/>
      <c r="BT34" s="408"/>
      <c r="BU34" s="408"/>
      <c r="BV34" s="408"/>
      <c r="BW34" s="408"/>
      <c r="BX34" s="408"/>
      <c r="BY34" s="408"/>
      <c r="BZ34" s="408"/>
      <c r="CA34" s="408"/>
      <c r="CB34" s="408"/>
      <c r="CC34" s="408"/>
      <c r="CD34" s="408"/>
      <c r="CE34" s="408"/>
      <c r="CF34" s="408"/>
      <c r="CG34" s="408"/>
      <c r="CH34" s="408"/>
      <c r="CI34" s="408"/>
      <c r="CJ34" s="408"/>
      <c r="CK34" s="408"/>
      <c r="CL34" s="408"/>
      <c r="CM34" s="408"/>
      <c r="CN34" s="408"/>
      <c r="CO34" s="408"/>
      <c r="CP34" s="408"/>
      <c r="CQ34" s="408"/>
      <c r="CR34" s="408"/>
      <c r="CS34" s="408"/>
      <c r="CT34" s="408"/>
      <c r="CU34" s="408"/>
      <c r="CV34" s="408"/>
      <c r="CW34" s="408"/>
      <c r="CX34" s="408"/>
      <c r="CY34" s="408"/>
      <c r="CZ34" s="408"/>
      <c r="DA34" s="408"/>
      <c r="DB34" s="408"/>
      <c r="DC34" s="408"/>
      <c r="DD34" s="408"/>
      <c r="DE34" s="408"/>
      <c r="DF34" s="408"/>
      <c r="DG34" s="408"/>
      <c r="DH34" s="408"/>
      <c r="DI34" s="408"/>
      <c r="DJ34" s="408"/>
      <c r="DK34" s="408"/>
      <c r="DL34" s="408"/>
      <c r="DM34" s="408"/>
      <c r="DN34" s="408"/>
      <c r="DO34" s="408"/>
      <c r="DP34" s="408"/>
      <c r="DQ34" s="408"/>
      <c r="DR34" s="408"/>
      <c r="DS34" s="408"/>
      <c r="DT34" s="408"/>
      <c r="DU34" s="408"/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/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8"/>
      <c r="EX34" s="408"/>
      <c r="EY34" s="408"/>
      <c r="EZ34" s="408"/>
      <c r="FA34" s="408"/>
      <c r="FB34" s="408"/>
      <c r="FC34" s="408"/>
      <c r="FD34" s="408"/>
      <c r="FE34" s="408"/>
      <c r="FF34" s="408"/>
      <c r="FG34" s="408"/>
      <c r="FH34" s="408"/>
      <c r="FI34" s="408"/>
      <c r="FJ34" s="408"/>
      <c r="FK34" s="408"/>
      <c r="FL34" s="408"/>
      <c r="FM34" s="408"/>
      <c r="FN34" s="408"/>
      <c r="FO34" s="408"/>
      <c r="FP34" s="408"/>
      <c r="FQ34" s="408"/>
      <c r="FR34" s="408"/>
      <c r="FS34" s="408"/>
      <c r="FT34" s="408"/>
      <c r="FU34" s="408"/>
      <c r="FV34" s="408"/>
      <c r="FW34" s="408"/>
      <c r="FX34" s="408"/>
      <c r="FY34" s="408"/>
      <c r="FZ34" s="408"/>
      <c r="GA34" s="408"/>
      <c r="GB34" s="408"/>
      <c r="GC34" s="408"/>
      <c r="GD34" s="408"/>
      <c r="GE34" s="408"/>
      <c r="GF34" s="408"/>
      <c r="GG34" s="408"/>
      <c r="GH34" s="408"/>
      <c r="GI34" s="408"/>
      <c r="GJ34" s="408"/>
      <c r="GK34" s="408"/>
      <c r="GL34" s="408"/>
      <c r="GM34" s="408"/>
      <c r="GN34" s="408"/>
      <c r="GO34" s="408"/>
      <c r="GP34" s="408"/>
      <c r="GQ34" s="408"/>
      <c r="GR34" s="408"/>
      <c r="GS34" s="408"/>
      <c r="GT34" s="408"/>
      <c r="GU34" s="408"/>
      <c r="GV34" s="408"/>
      <c r="GW34" s="408"/>
      <c r="GX34" s="408"/>
      <c r="GY34" s="408"/>
      <c r="GZ34" s="408"/>
      <c r="HA34" s="408"/>
      <c r="HB34" s="408"/>
      <c r="HC34" s="408"/>
      <c r="HD34" s="408"/>
      <c r="HE34" s="408"/>
      <c r="HF34" s="408"/>
      <c r="HG34" s="408"/>
      <c r="HH34" s="408"/>
      <c r="HI34" s="408"/>
      <c r="HJ34" s="408"/>
      <c r="HK34" s="408"/>
      <c r="HL34" s="408"/>
      <c r="HM34" s="408"/>
      <c r="HN34" s="408"/>
      <c r="HO34" s="408"/>
      <c r="HP34" s="408"/>
      <c r="HQ34" s="408"/>
      <c r="HR34" s="408"/>
      <c r="HS34" s="408"/>
      <c r="HT34" s="408"/>
      <c r="HU34" s="408"/>
      <c r="HV34" s="408"/>
      <c r="HW34" s="408"/>
      <c r="HX34" s="408"/>
      <c r="HY34" s="408"/>
      <c r="HZ34" s="408"/>
      <c r="IA34" s="408"/>
      <c r="IB34" s="408"/>
      <c r="IC34" s="408"/>
      <c r="ID34" s="408"/>
      <c r="IE34" s="408"/>
      <c r="IF34" s="408"/>
      <c r="IG34" s="408"/>
      <c r="IH34" s="408"/>
      <c r="II34" s="408"/>
      <c r="IJ34" s="408"/>
      <c r="IK34" s="408"/>
      <c r="IL34" s="408"/>
      <c r="IM34" s="408"/>
      <c r="IN34" s="408"/>
      <c r="IO34" s="408"/>
      <c r="IP34" s="408"/>
      <c r="IQ34" s="408"/>
      <c r="IR34" s="408"/>
      <c r="IS34" s="408"/>
      <c r="IT34" s="408"/>
      <c r="IU34" s="408"/>
      <c r="IV34" s="408"/>
      <c r="IW34" s="408"/>
    </row>
    <row r="35" customFormat="false" ht="12.75" hidden="false" customHeight="false" outlineLevel="0" collapsed="false">
      <c r="A35" s="402" t="n">
        <f aca="false">Assm!$I$75</f>
        <v>0</v>
      </c>
      <c r="B35" s="403" t="s">
        <v>389</v>
      </c>
      <c r="C35" s="404" t="s">
        <v>235</v>
      </c>
      <c r="D35" s="403"/>
      <c r="E35" s="406" t="n">
        <f aca="false">IF(E$7&lt;YEAR(Startops1),0,HLOOKUP(E$7,CF_Table,CF!$AB$28)*$A35)</f>
        <v>0</v>
      </c>
      <c r="F35" s="406" t="n">
        <f aca="false">IF(F$7&lt;YEAR(Startops1),0,HLOOKUP(F$7,CF_Table,CF!$AB$28)*$A35)</f>
        <v>0</v>
      </c>
      <c r="G35" s="406" t="n">
        <f aca="false">IF(G$7&lt;YEAR(Startops1),0,HLOOKUP(G$7,CF_Table,CF!$AB$28)*$A35)</f>
        <v>0</v>
      </c>
      <c r="H35" s="406" t="n">
        <f aca="false">IF(H$7&lt;YEAR(Startops1),0,HLOOKUP(H$7,CF_Table,CF!$AB$28)*$A35)</f>
        <v>0</v>
      </c>
      <c r="I35" s="406" t="n">
        <f aca="false">IF(I$7&lt;YEAR(Startops1),0,HLOOKUP(I$7,CF_Table,CF!$AB$28)*$A35)</f>
        <v>0</v>
      </c>
      <c r="J35" s="406" t="n">
        <f aca="false">IF(J$7&lt;YEAR(Startops1),0,HLOOKUP(J$7,CF_Table,CF!$AB$28)*$A35)</f>
        <v>0</v>
      </c>
      <c r="K35" s="406" t="n">
        <f aca="false">IF(K$7&lt;YEAR(Startops1),0,HLOOKUP(K$7,CF_Table,CF!$AB$28)*$A35)</f>
        <v>0</v>
      </c>
      <c r="L35" s="406" t="n">
        <f aca="false">IF(L$7&lt;YEAR(Startops1),0,HLOOKUP(L$7,CF_Table,CF!$AB$28)*$A35)</f>
        <v>0</v>
      </c>
      <c r="M35" s="406" t="n">
        <f aca="false">IF(M$7&lt;YEAR(Startops1),0,HLOOKUP(M$7,CF_Table,CF!$AB$28)*$A35)</f>
        <v>0</v>
      </c>
      <c r="N35" s="406" t="n">
        <f aca="false">IF(N$7&lt;YEAR(Startops1),0,HLOOKUP(N$7,CF_Table,CF!$AB$28)*$A35)</f>
        <v>0</v>
      </c>
      <c r="O35" s="406" t="n">
        <f aca="false">IF(O$7&lt;YEAR(Startops1),0,HLOOKUP(O$7,CF_Table,CF!$AB$28)*$A35)</f>
        <v>0</v>
      </c>
      <c r="P35" s="406" t="n">
        <f aca="false">IF(P$7&lt;YEAR(Startops1),0,HLOOKUP(P$7,CF_Table,CF!$AB$28)*$A35)</f>
        <v>0</v>
      </c>
      <c r="Q35" s="406" t="n">
        <f aca="false">IF(Q$7&lt;YEAR(Startops1),0,HLOOKUP(Q$7,CF_Table,CF!$AB$28)*$A35)</f>
        <v>0</v>
      </c>
      <c r="R35" s="406" t="n">
        <f aca="false">IF(R$7&lt;YEAR(Startops1),0,HLOOKUP(R$7,CF_Table,CF!$AB$28)*$A35)</f>
        <v>0</v>
      </c>
      <c r="S35" s="406" t="n">
        <f aca="false">IF(S$7&lt;YEAR(Startops1),0,HLOOKUP(S$7,CF_Table,CF!$AB$28)*$A35)</f>
        <v>0</v>
      </c>
      <c r="T35" s="406" t="n">
        <f aca="false">IF(T$7&lt;YEAR(Startops1),0,HLOOKUP(T$7,CF_Table,CF!$AB$28)*$A35)</f>
        <v>0</v>
      </c>
      <c r="U35" s="406" t="n">
        <f aca="false">IF(U$7&lt;YEAR(Startops1),0,HLOOKUP(U$7,CF_Table,CF!$AB$28)*$A35)</f>
        <v>0</v>
      </c>
      <c r="V35" s="406" t="n">
        <f aca="false">IF(V$7&lt;YEAR(Startops1),0,HLOOKUP(V$7,CF_Table,CF!$AB$28)*$A35)</f>
        <v>0</v>
      </c>
      <c r="W35" s="406" t="n">
        <f aca="false">IF(W$7&lt;YEAR(Startops1),0,HLOOKUP(W$7,CF_Table,CF!$AB$28)*$A35)</f>
        <v>0</v>
      </c>
      <c r="X35" s="406" t="n">
        <f aca="false">IF(X$7&lt;YEAR(Startops1),0,HLOOKUP(X$7,CF_Table,CF!$AB$28)*$A35)</f>
        <v>0</v>
      </c>
      <c r="Y35" s="406" t="n">
        <f aca="false">IF(Y$7&lt;YEAR(Startops1),0,HLOOKUP(Y$7,CF_Table,CF!$AB$28)*$A35)</f>
        <v>0</v>
      </c>
      <c r="Z35" s="406" t="n">
        <f aca="false">IF(Z$7&lt;YEAR(Startops1),0,HLOOKUP(Z$7,CF_Table,CF!$AB$28)*$A35)</f>
        <v>0</v>
      </c>
      <c r="AA35" s="407" t="n">
        <f aca="false">SUM(D35:Z35)</f>
        <v>0</v>
      </c>
      <c r="AB35" s="407" t="n">
        <f aca="false">$E35+NPV(Disc,$F35:Z35)</f>
        <v>0</v>
      </c>
      <c r="AC35" s="408"/>
      <c r="AD35" s="408"/>
      <c r="AE35" s="408"/>
      <c r="AF35" s="408"/>
      <c r="AG35" s="408"/>
      <c r="AH35" s="408"/>
      <c r="AI35" s="408"/>
      <c r="AJ35" s="408"/>
      <c r="AK35" s="408"/>
      <c r="AL35" s="408"/>
      <c r="AM35" s="408"/>
      <c r="AN35" s="408"/>
      <c r="AO35" s="408"/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/>
      <c r="BD35" s="408"/>
      <c r="BE35" s="408"/>
      <c r="BF35" s="408"/>
      <c r="BG35" s="408"/>
      <c r="BH35" s="408"/>
      <c r="BI35" s="408"/>
      <c r="BJ35" s="408"/>
      <c r="BK35" s="408"/>
      <c r="BL35" s="408"/>
      <c r="BM35" s="408"/>
      <c r="BN35" s="408"/>
      <c r="BO35" s="408"/>
      <c r="BP35" s="408"/>
      <c r="BQ35" s="408"/>
      <c r="BR35" s="408"/>
      <c r="BS35" s="408"/>
      <c r="BT35" s="408"/>
      <c r="BU35" s="408"/>
      <c r="BV35" s="408"/>
      <c r="BW35" s="408"/>
      <c r="BX35" s="408"/>
      <c r="BY35" s="408"/>
      <c r="BZ35" s="408"/>
      <c r="CA35" s="408"/>
      <c r="CB35" s="408"/>
      <c r="CC35" s="408"/>
      <c r="CD35" s="408"/>
      <c r="CE35" s="408"/>
      <c r="CF35" s="408"/>
      <c r="CG35" s="408"/>
      <c r="CH35" s="408"/>
      <c r="CI35" s="408"/>
      <c r="CJ35" s="408"/>
      <c r="CK35" s="408"/>
      <c r="CL35" s="408"/>
      <c r="CM35" s="408"/>
      <c r="CN35" s="408"/>
      <c r="CO35" s="408"/>
      <c r="CP35" s="408"/>
      <c r="CQ35" s="408"/>
      <c r="CR35" s="408"/>
      <c r="CS35" s="408"/>
      <c r="CT35" s="408"/>
      <c r="CU35" s="408"/>
      <c r="CV35" s="408"/>
      <c r="CW35" s="408"/>
      <c r="CX35" s="408"/>
      <c r="CY35" s="408"/>
      <c r="CZ35" s="408"/>
      <c r="DA35" s="408"/>
      <c r="DB35" s="408"/>
      <c r="DC35" s="408"/>
      <c r="DD35" s="408"/>
      <c r="DE35" s="408"/>
      <c r="DF35" s="408"/>
      <c r="DG35" s="408"/>
      <c r="DH35" s="408"/>
      <c r="DI35" s="408"/>
      <c r="DJ35" s="408"/>
      <c r="DK35" s="408"/>
      <c r="DL35" s="408"/>
      <c r="DM35" s="408"/>
      <c r="DN35" s="408"/>
      <c r="DO35" s="408"/>
      <c r="DP35" s="408"/>
      <c r="DQ35" s="408"/>
      <c r="DR35" s="408"/>
      <c r="DS35" s="408"/>
      <c r="DT35" s="408"/>
      <c r="DU35" s="408"/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/>
      <c r="EJ35" s="408"/>
      <c r="EK35" s="408"/>
      <c r="EL35" s="408"/>
      <c r="EM35" s="408"/>
      <c r="EN35" s="408"/>
      <c r="EO35" s="408"/>
      <c r="EP35" s="408"/>
      <c r="EQ35" s="408"/>
      <c r="ER35" s="408"/>
      <c r="ES35" s="408"/>
      <c r="ET35" s="408"/>
      <c r="EU35" s="408"/>
      <c r="EV35" s="408"/>
      <c r="EW35" s="408"/>
      <c r="EX35" s="408"/>
      <c r="EY35" s="408"/>
      <c r="EZ35" s="408"/>
      <c r="FA35" s="408"/>
      <c r="FB35" s="408"/>
      <c r="FC35" s="408"/>
      <c r="FD35" s="408"/>
      <c r="FE35" s="408"/>
      <c r="FF35" s="408"/>
      <c r="FG35" s="408"/>
      <c r="FH35" s="408"/>
      <c r="FI35" s="408"/>
      <c r="FJ35" s="408"/>
      <c r="FK35" s="408"/>
      <c r="FL35" s="408"/>
      <c r="FM35" s="408"/>
      <c r="FN35" s="408"/>
      <c r="FO35" s="408"/>
      <c r="FP35" s="408"/>
      <c r="FQ35" s="408"/>
      <c r="FR35" s="408"/>
      <c r="FS35" s="408"/>
      <c r="FT35" s="408"/>
      <c r="FU35" s="408"/>
      <c r="FV35" s="408"/>
      <c r="FW35" s="408"/>
      <c r="FX35" s="408"/>
      <c r="FY35" s="408"/>
      <c r="FZ35" s="408"/>
      <c r="GA35" s="408"/>
      <c r="GB35" s="408"/>
      <c r="GC35" s="408"/>
      <c r="GD35" s="408"/>
      <c r="GE35" s="408"/>
      <c r="GF35" s="408"/>
      <c r="GG35" s="408"/>
      <c r="GH35" s="408"/>
      <c r="GI35" s="408"/>
      <c r="GJ35" s="408"/>
      <c r="GK35" s="408"/>
      <c r="GL35" s="408"/>
      <c r="GM35" s="408"/>
      <c r="GN35" s="408"/>
      <c r="GO35" s="408"/>
      <c r="GP35" s="408"/>
      <c r="GQ35" s="408"/>
      <c r="GR35" s="408"/>
      <c r="GS35" s="408"/>
      <c r="GT35" s="408"/>
      <c r="GU35" s="408"/>
      <c r="GV35" s="408"/>
      <c r="GW35" s="408"/>
      <c r="GX35" s="408"/>
      <c r="GY35" s="408"/>
      <c r="GZ35" s="408"/>
      <c r="HA35" s="408"/>
      <c r="HB35" s="408"/>
      <c r="HC35" s="408"/>
      <c r="HD35" s="408"/>
      <c r="HE35" s="408"/>
      <c r="HF35" s="408"/>
      <c r="HG35" s="408"/>
      <c r="HH35" s="408"/>
      <c r="HI35" s="408"/>
      <c r="HJ35" s="408"/>
      <c r="HK35" s="408"/>
      <c r="HL35" s="408"/>
      <c r="HM35" s="408"/>
      <c r="HN35" s="408"/>
      <c r="HO35" s="408"/>
      <c r="HP35" s="408"/>
      <c r="HQ35" s="408"/>
      <c r="HR35" s="408"/>
      <c r="HS35" s="408"/>
      <c r="HT35" s="408"/>
      <c r="HU35" s="408"/>
      <c r="HV35" s="408"/>
      <c r="HW35" s="408"/>
      <c r="HX35" s="408"/>
      <c r="HY35" s="408"/>
      <c r="HZ35" s="408"/>
      <c r="IA35" s="408"/>
      <c r="IB35" s="408"/>
      <c r="IC35" s="408"/>
      <c r="ID35" s="408"/>
      <c r="IE35" s="408"/>
      <c r="IF35" s="408"/>
      <c r="IG35" s="408"/>
      <c r="IH35" s="408"/>
      <c r="II35" s="408"/>
      <c r="IJ35" s="408"/>
      <c r="IK35" s="408"/>
      <c r="IL35" s="408"/>
      <c r="IM35" s="408"/>
      <c r="IN35" s="408"/>
      <c r="IO35" s="408"/>
      <c r="IP35" s="408"/>
      <c r="IQ35" s="408"/>
      <c r="IR35" s="408"/>
      <c r="IS35" s="408"/>
      <c r="IT35" s="408"/>
      <c r="IU35" s="408"/>
      <c r="IV35" s="408"/>
      <c r="IW35" s="408"/>
    </row>
    <row r="36" customFormat="false" ht="12.75" hidden="false" customHeight="false" outlineLevel="0" collapsed="false">
      <c r="A36" s="402"/>
      <c r="B36" s="403" t="s">
        <v>261</v>
      </c>
      <c r="C36" s="404" t="s">
        <v>235</v>
      </c>
      <c r="D36" s="403"/>
      <c r="E36" s="406" t="n">
        <f aca="false">-EINC!E29+IF(E$7=YEAR(Startops1),-Assm!$R82,0)</f>
        <v>0</v>
      </c>
      <c r="F36" s="406" t="n">
        <f aca="false">-EINC!F29+IF(F$7=YEAR(Startops1),-Assm!$R82,0)</f>
        <v>0</v>
      </c>
      <c r="G36" s="406" t="n">
        <f aca="false">-EINC!G29+IF(G$7=YEAR(Startops1),-Assm!$R82,0)</f>
        <v>0</v>
      </c>
      <c r="H36" s="406" t="n">
        <f aca="false">-EINC!H29+IF(H$7=YEAR(Startops1),-Assm!$R82,0)</f>
        <v>-110.198176289717</v>
      </c>
      <c r="I36" s="406" t="n">
        <f aca="false">-EINC!I29+IF(I$7=YEAR(Startops1),-Assm!$R82,0)</f>
        <v>6.35758709363754</v>
      </c>
      <c r="J36" s="406" t="n">
        <f aca="false">-EINC!J29+IF(J$7=YEAR(Startops1),-Assm!$R82,0)</f>
        <v>6.35758709363754</v>
      </c>
      <c r="K36" s="406" t="n">
        <f aca="false">-EINC!K29+IF(K$7=YEAR(Startops1),-Assm!$R82,0)</f>
        <v>6.35758709363754</v>
      </c>
      <c r="L36" s="406" t="n">
        <f aca="false">-EINC!L29+IF(L$7=YEAR(Startops1),-Assm!$R82,0)</f>
        <v>6.35758709363754</v>
      </c>
      <c r="M36" s="406" t="n">
        <f aca="false">-EINC!M29+IF(M$7=YEAR(Startops1),-Assm!$R82,0)</f>
        <v>6.35758709363754</v>
      </c>
      <c r="N36" s="406" t="n">
        <f aca="false">-EINC!N29+IF(N$7=YEAR(Startops1),-Assm!$R82,0)</f>
        <v>6.35758709363754</v>
      </c>
      <c r="O36" s="406" t="n">
        <f aca="false">-EINC!O29+IF(O$7=YEAR(Startops1),-Assm!$R82,0)</f>
        <v>6.35758709363754</v>
      </c>
      <c r="P36" s="406" t="n">
        <f aca="false">-EINC!P29+IF(P$7=YEAR(Startops1),-Assm!$R82,0)</f>
        <v>6.35758709363754</v>
      </c>
      <c r="Q36" s="406" t="n">
        <f aca="false">-EINC!Q29+IF(Q$7=YEAR(Startops1),-Assm!$R82,0)</f>
        <v>6.35758709363754</v>
      </c>
      <c r="R36" s="406" t="n">
        <f aca="false">-EINC!R29+IF(R$7=YEAR(Startops1),-Assm!$R82,0)</f>
        <v>6.35758709363754</v>
      </c>
      <c r="S36" s="406" t="n">
        <f aca="false">-EINC!S29+IF(S$7=YEAR(Startops1),-Assm!$R82,0)</f>
        <v>6.35758709363754</v>
      </c>
      <c r="T36" s="406" t="n">
        <f aca="false">-EINC!T29+IF(T$7=YEAR(Startops1),-Assm!$R82,0)</f>
        <v>6.35758709363754</v>
      </c>
      <c r="U36" s="406" t="n">
        <f aca="false">-EINC!U29+IF(U$7=YEAR(Startops1),-Assm!$R82,0)</f>
        <v>6.35758709363754</v>
      </c>
      <c r="V36" s="406" t="n">
        <f aca="false">-EINC!V29+IF(V$7=YEAR(Startops1),-Assm!$R82,0)</f>
        <v>6.35758709363754</v>
      </c>
      <c r="W36" s="406" t="n">
        <f aca="false">-EINC!W29+IF(W$7=YEAR(Startops1),-Assm!$R82,0)</f>
        <v>6.35758709363754</v>
      </c>
      <c r="X36" s="406" t="n">
        <f aca="false">-EINC!X29+IF(X$7=YEAR(Startops1),-Assm!$R82,0)</f>
        <v>6.35758709363754</v>
      </c>
      <c r="Y36" s="406" t="n">
        <f aca="false">-EINC!Y29+IF(Y$7=YEAR(Startops1),-Assm!$R82,0)</f>
        <v>6.35758709363754</v>
      </c>
      <c r="Z36" s="406" t="n">
        <f aca="false">-EINC!Z29+IF(Z$7=YEAR(Startops1),-Assm!$R82,0)</f>
        <v>2.11919569787918</v>
      </c>
      <c r="AA36" s="407" t="n">
        <f aca="false">SUM(D36:Z36)</f>
        <v>0</v>
      </c>
      <c r="AB36" s="407" t="n">
        <f aca="false">$E36+NPV(Disc,$F36:Z36)</f>
        <v>-46.5139582183261</v>
      </c>
      <c r="AC36" s="408"/>
      <c r="AD36" s="408"/>
      <c r="AE36" s="408"/>
      <c r="AF36" s="408"/>
      <c r="AG36" s="408"/>
      <c r="AH36" s="408"/>
      <c r="AI36" s="408"/>
      <c r="AJ36" s="408"/>
      <c r="AK36" s="408"/>
      <c r="AL36" s="408"/>
      <c r="AM36" s="408"/>
      <c r="AN36" s="408"/>
      <c r="AO36" s="408"/>
      <c r="AP36" s="408"/>
      <c r="AQ36" s="408"/>
      <c r="AR36" s="408"/>
      <c r="AS36" s="408"/>
      <c r="AT36" s="408"/>
      <c r="AU36" s="408"/>
      <c r="AV36" s="408"/>
      <c r="AW36" s="408"/>
      <c r="AX36" s="408"/>
      <c r="AY36" s="408"/>
      <c r="AZ36" s="408"/>
      <c r="BA36" s="408"/>
      <c r="BB36" s="408"/>
      <c r="BC36" s="408"/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/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/>
      <c r="CF36" s="408"/>
      <c r="CG36" s="408"/>
      <c r="CH36" s="408"/>
      <c r="CI36" s="408"/>
      <c r="CJ36" s="408"/>
      <c r="CK36" s="408"/>
      <c r="CL36" s="408"/>
      <c r="CM36" s="408"/>
      <c r="CN36" s="408"/>
      <c r="CO36" s="408"/>
      <c r="CP36" s="408"/>
      <c r="CQ36" s="408"/>
      <c r="CR36" s="408"/>
      <c r="CS36" s="408"/>
      <c r="CT36" s="408"/>
      <c r="CU36" s="408"/>
      <c r="CV36" s="408"/>
      <c r="CW36" s="408"/>
      <c r="CX36" s="408"/>
      <c r="CY36" s="408"/>
      <c r="CZ36" s="408"/>
      <c r="DA36" s="408"/>
      <c r="DB36" s="408"/>
      <c r="DC36" s="408"/>
      <c r="DD36" s="408"/>
      <c r="DE36" s="408"/>
      <c r="DF36" s="408"/>
      <c r="DG36" s="408"/>
      <c r="DH36" s="408"/>
      <c r="DI36" s="408"/>
      <c r="DJ36" s="408"/>
      <c r="DK36" s="408"/>
      <c r="DL36" s="408"/>
      <c r="DM36" s="408"/>
      <c r="DN36" s="408"/>
      <c r="DO36" s="408"/>
      <c r="DP36" s="408"/>
      <c r="DQ36" s="408"/>
      <c r="DR36" s="408"/>
      <c r="DS36" s="408"/>
      <c r="DT36" s="408"/>
      <c r="DU36" s="408"/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/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8"/>
      <c r="EX36" s="408"/>
      <c r="EY36" s="408"/>
      <c r="EZ36" s="408"/>
      <c r="FA36" s="408"/>
      <c r="FB36" s="408"/>
      <c r="FC36" s="408"/>
      <c r="FD36" s="408"/>
      <c r="FE36" s="408"/>
      <c r="FF36" s="408"/>
      <c r="FG36" s="408"/>
      <c r="FH36" s="408"/>
      <c r="FI36" s="408"/>
      <c r="FJ36" s="408"/>
      <c r="FK36" s="408"/>
      <c r="FL36" s="408"/>
      <c r="FM36" s="408"/>
      <c r="FN36" s="408"/>
      <c r="FO36" s="408"/>
      <c r="FP36" s="408"/>
      <c r="FQ36" s="408"/>
      <c r="FR36" s="408"/>
      <c r="FS36" s="408"/>
      <c r="FT36" s="408"/>
      <c r="FU36" s="408"/>
      <c r="FV36" s="408"/>
      <c r="FW36" s="408"/>
      <c r="FX36" s="408"/>
      <c r="FY36" s="408"/>
      <c r="FZ36" s="408"/>
      <c r="GA36" s="408"/>
      <c r="GB36" s="408"/>
      <c r="GC36" s="408"/>
      <c r="GD36" s="408"/>
      <c r="GE36" s="408"/>
      <c r="GF36" s="408"/>
      <c r="GG36" s="408"/>
      <c r="GH36" s="408"/>
      <c r="GI36" s="408"/>
      <c r="GJ36" s="408"/>
      <c r="GK36" s="408"/>
      <c r="GL36" s="408"/>
      <c r="GM36" s="408"/>
      <c r="GN36" s="408"/>
      <c r="GO36" s="408"/>
      <c r="GP36" s="408"/>
      <c r="GQ36" s="408"/>
      <c r="GR36" s="408"/>
      <c r="GS36" s="408"/>
      <c r="GT36" s="408"/>
      <c r="GU36" s="408"/>
      <c r="GV36" s="408"/>
      <c r="GW36" s="408"/>
      <c r="GX36" s="408"/>
      <c r="GY36" s="408"/>
      <c r="GZ36" s="408"/>
      <c r="HA36" s="408"/>
      <c r="HB36" s="408"/>
      <c r="HC36" s="408"/>
      <c r="HD36" s="408"/>
      <c r="HE36" s="408"/>
      <c r="HF36" s="408"/>
      <c r="HG36" s="408"/>
      <c r="HH36" s="408"/>
      <c r="HI36" s="408"/>
      <c r="HJ36" s="408"/>
      <c r="HK36" s="408"/>
      <c r="HL36" s="408"/>
      <c r="HM36" s="408"/>
      <c r="HN36" s="408"/>
      <c r="HO36" s="408"/>
      <c r="HP36" s="408"/>
      <c r="HQ36" s="408"/>
      <c r="HR36" s="408"/>
      <c r="HS36" s="408"/>
      <c r="HT36" s="408"/>
      <c r="HU36" s="408"/>
      <c r="HV36" s="408"/>
      <c r="HW36" s="408"/>
      <c r="HX36" s="408"/>
      <c r="HY36" s="408"/>
      <c r="HZ36" s="408"/>
      <c r="IA36" s="408"/>
      <c r="IB36" s="408"/>
      <c r="IC36" s="408"/>
      <c r="ID36" s="408"/>
      <c r="IE36" s="408"/>
      <c r="IF36" s="408"/>
      <c r="IG36" s="408"/>
      <c r="IH36" s="408"/>
      <c r="II36" s="408"/>
      <c r="IJ36" s="408"/>
      <c r="IK36" s="408"/>
      <c r="IL36" s="408"/>
      <c r="IM36" s="408"/>
      <c r="IN36" s="408"/>
      <c r="IO36" s="408"/>
      <c r="IP36" s="408"/>
      <c r="IQ36" s="408"/>
      <c r="IR36" s="408"/>
      <c r="IS36" s="408"/>
      <c r="IT36" s="408"/>
      <c r="IU36" s="408"/>
      <c r="IV36" s="408"/>
      <c r="IW36" s="408"/>
    </row>
    <row r="37" customFormat="false" ht="12.75" hidden="false" customHeight="false" outlineLevel="0" collapsed="false">
      <c r="A37" s="409"/>
      <c r="B37" s="389" t="s">
        <v>264</v>
      </c>
      <c r="C37" s="399" t="s">
        <v>235</v>
      </c>
      <c r="D37" s="389"/>
      <c r="E37" s="398" t="n">
        <f aca="false">-EINC!E30+IF(E$7=YEAR(Startops1),-Assm!$R83,0)</f>
        <v>0</v>
      </c>
      <c r="F37" s="398" t="n">
        <f aca="false">-EINC!F30+IF(F$7=YEAR(Startops1),-Assm!$R83,0)</f>
        <v>0</v>
      </c>
      <c r="G37" s="398" t="n">
        <f aca="false">-EINC!G30+IF(G$7=YEAR(Startops1),-Assm!$R83,0)</f>
        <v>0</v>
      </c>
      <c r="H37" s="398" t="n">
        <f aca="false">-EINC!H30+IF(H$7=YEAR(Startops1),-Assm!$R83,0)</f>
        <v>-841.54128440367</v>
      </c>
      <c r="I37" s="398" t="n">
        <f aca="false">-EINC!I30+IF(I$7=YEAR(Startops1),-Assm!$R83,0)</f>
        <v>48.5504587155963</v>
      </c>
      <c r="J37" s="398" t="n">
        <f aca="false">-EINC!J30+IF(J$7=YEAR(Startops1),-Assm!$R83,0)</f>
        <v>48.5504587155963</v>
      </c>
      <c r="K37" s="398" t="n">
        <f aca="false">-EINC!K30+IF(K$7=YEAR(Startops1),-Assm!$R83,0)</f>
        <v>48.5504587155963</v>
      </c>
      <c r="L37" s="398" t="n">
        <f aca="false">-EINC!L30+IF(L$7=YEAR(Startops1),-Assm!$R83,0)</f>
        <v>48.5504587155963</v>
      </c>
      <c r="M37" s="398" t="n">
        <f aca="false">-EINC!M30+IF(M$7=YEAR(Startops1),-Assm!$R83,0)</f>
        <v>48.5504587155963</v>
      </c>
      <c r="N37" s="398" t="n">
        <f aca="false">-EINC!N30+IF(N$7=YEAR(Startops1),-Assm!$R83,0)</f>
        <v>48.5504587155963</v>
      </c>
      <c r="O37" s="398" t="n">
        <f aca="false">-EINC!O30+IF(O$7=YEAR(Startops1),-Assm!$R83,0)</f>
        <v>48.5504587155963</v>
      </c>
      <c r="P37" s="398" t="n">
        <f aca="false">-EINC!P30+IF(P$7=YEAR(Startops1),-Assm!$R83,0)</f>
        <v>48.5504587155963</v>
      </c>
      <c r="Q37" s="398" t="n">
        <f aca="false">-EINC!Q30+IF(Q$7=YEAR(Startops1),-Assm!$R83,0)</f>
        <v>48.5504587155963</v>
      </c>
      <c r="R37" s="398" t="n">
        <f aca="false">-EINC!R30+IF(R$7=YEAR(Startops1),-Assm!$R83,0)</f>
        <v>48.5504587155963</v>
      </c>
      <c r="S37" s="398" t="n">
        <f aca="false">-EINC!S30+IF(S$7=YEAR(Startops1),-Assm!$R83,0)</f>
        <v>48.5504587155963</v>
      </c>
      <c r="T37" s="398" t="n">
        <f aca="false">-EINC!T30+IF(T$7=YEAR(Startops1),-Assm!$R83,0)</f>
        <v>48.5504587155963</v>
      </c>
      <c r="U37" s="398" t="n">
        <f aca="false">-EINC!U30+IF(U$7=YEAR(Startops1),-Assm!$R83,0)</f>
        <v>48.5504587155963</v>
      </c>
      <c r="V37" s="398" t="n">
        <f aca="false">-EINC!V30+IF(V$7=YEAR(Startops1),-Assm!$R83,0)</f>
        <v>48.5504587155963</v>
      </c>
      <c r="W37" s="398" t="n">
        <f aca="false">-EINC!W30+IF(W$7=YEAR(Startops1),-Assm!$R83,0)</f>
        <v>48.5504587155963</v>
      </c>
      <c r="X37" s="398" t="n">
        <f aca="false">-EINC!X30+IF(X$7=YEAR(Startops1),-Assm!$R83,0)</f>
        <v>48.5504587155963</v>
      </c>
      <c r="Y37" s="398" t="n">
        <f aca="false">-EINC!Y30+IF(Y$7=YEAR(Startops1),-Assm!$R83,0)</f>
        <v>48.5504587155963</v>
      </c>
      <c r="Z37" s="398" t="n">
        <f aca="false">-EINC!Z30+IF(Z$7=YEAR(Startops1),-Assm!$R83,0)</f>
        <v>16.1834862385321</v>
      </c>
      <c r="AA37" s="392" t="n">
        <f aca="false">SUM(D37:Z37)</f>
        <v>1.13686837721616E-013</v>
      </c>
      <c r="AB37" s="392" t="n">
        <f aca="false">$E37+NPV(Disc,$F37:Z37)</f>
        <v>-355.209291656865</v>
      </c>
      <c r="AC37" s="393"/>
      <c r="AD37" s="393"/>
      <c r="AE37" s="393"/>
      <c r="AF37" s="393"/>
      <c r="AG37" s="393"/>
      <c r="AH37" s="393"/>
      <c r="AI37" s="393"/>
      <c r="AJ37" s="393"/>
      <c r="AK37" s="393"/>
      <c r="AL37" s="393"/>
      <c r="AM37" s="393"/>
      <c r="AN37" s="393"/>
      <c r="AO37" s="393"/>
      <c r="AP37" s="393"/>
      <c r="AQ37" s="393"/>
      <c r="AR37" s="393"/>
      <c r="AS37" s="393"/>
      <c r="AT37" s="393"/>
      <c r="AU37" s="393"/>
      <c r="AV37" s="393"/>
      <c r="AW37" s="393"/>
      <c r="AX37" s="393"/>
      <c r="AY37" s="393"/>
      <c r="AZ37" s="393"/>
      <c r="BA37" s="393"/>
      <c r="BB37" s="393"/>
      <c r="BC37" s="393"/>
      <c r="BD37" s="393"/>
      <c r="BE37" s="393"/>
      <c r="BF37" s="393"/>
      <c r="BG37" s="393"/>
      <c r="BH37" s="393"/>
      <c r="BI37" s="393"/>
      <c r="BJ37" s="393"/>
      <c r="BK37" s="393"/>
      <c r="BL37" s="393"/>
      <c r="BM37" s="393"/>
      <c r="BN37" s="393"/>
      <c r="BO37" s="393"/>
      <c r="BP37" s="393"/>
      <c r="BQ37" s="393"/>
      <c r="BR37" s="393"/>
      <c r="BS37" s="393"/>
      <c r="BT37" s="393"/>
      <c r="BU37" s="393"/>
      <c r="BV37" s="393"/>
      <c r="BW37" s="393"/>
      <c r="BX37" s="393"/>
      <c r="BY37" s="393"/>
      <c r="BZ37" s="393"/>
      <c r="CA37" s="393"/>
      <c r="CB37" s="393"/>
      <c r="CC37" s="393"/>
      <c r="CD37" s="393"/>
      <c r="CE37" s="393"/>
      <c r="CF37" s="393"/>
      <c r="CG37" s="393"/>
      <c r="CH37" s="393"/>
      <c r="CI37" s="393"/>
      <c r="CJ37" s="393"/>
      <c r="CK37" s="393"/>
      <c r="CL37" s="393"/>
      <c r="CM37" s="393"/>
      <c r="CN37" s="393"/>
      <c r="CO37" s="393"/>
      <c r="CP37" s="393"/>
      <c r="CQ37" s="393"/>
      <c r="CR37" s="393"/>
      <c r="CS37" s="393"/>
      <c r="CT37" s="393"/>
      <c r="CU37" s="393"/>
      <c r="CV37" s="393"/>
      <c r="CW37" s="393"/>
      <c r="CX37" s="393"/>
      <c r="CY37" s="393"/>
      <c r="CZ37" s="393"/>
      <c r="DA37" s="393"/>
      <c r="DB37" s="393"/>
      <c r="DC37" s="393"/>
      <c r="DD37" s="393"/>
      <c r="DE37" s="393"/>
      <c r="DF37" s="393"/>
      <c r="DG37" s="393"/>
      <c r="DH37" s="393"/>
      <c r="DI37" s="393"/>
      <c r="DJ37" s="393"/>
      <c r="DK37" s="393"/>
      <c r="DL37" s="393"/>
      <c r="DM37" s="393"/>
      <c r="DN37" s="393"/>
      <c r="DO37" s="393"/>
      <c r="DP37" s="393"/>
      <c r="DQ37" s="393"/>
      <c r="DR37" s="393"/>
      <c r="DS37" s="393"/>
      <c r="DT37" s="393"/>
      <c r="DU37" s="393"/>
      <c r="DV37" s="393"/>
      <c r="DW37" s="393"/>
      <c r="DX37" s="393"/>
      <c r="DY37" s="393"/>
      <c r="DZ37" s="393"/>
      <c r="EA37" s="393"/>
      <c r="EB37" s="393"/>
      <c r="EC37" s="393"/>
      <c r="ED37" s="393"/>
      <c r="EE37" s="393"/>
      <c r="EF37" s="393"/>
      <c r="EG37" s="393"/>
      <c r="EH37" s="393"/>
      <c r="EI37" s="393"/>
      <c r="EJ37" s="393"/>
      <c r="EK37" s="393"/>
      <c r="EL37" s="393"/>
      <c r="EM37" s="393"/>
      <c r="EN37" s="393"/>
      <c r="EO37" s="393"/>
      <c r="EP37" s="393"/>
      <c r="EQ37" s="393"/>
      <c r="ER37" s="393"/>
      <c r="ES37" s="393"/>
      <c r="ET37" s="393"/>
      <c r="EU37" s="393"/>
      <c r="EV37" s="393"/>
      <c r="EW37" s="393"/>
      <c r="EX37" s="393"/>
      <c r="EY37" s="393"/>
      <c r="EZ37" s="393"/>
      <c r="FA37" s="393"/>
      <c r="FB37" s="393"/>
      <c r="FC37" s="393"/>
      <c r="FD37" s="393"/>
      <c r="FE37" s="393"/>
      <c r="FF37" s="393"/>
      <c r="FG37" s="393"/>
      <c r="FH37" s="393"/>
      <c r="FI37" s="393"/>
      <c r="FJ37" s="393"/>
      <c r="FK37" s="393"/>
      <c r="FL37" s="393"/>
      <c r="FM37" s="393"/>
      <c r="FN37" s="393"/>
      <c r="FO37" s="393"/>
      <c r="FP37" s="393"/>
      <c r="FQ37" s="393"/>
      <c r="FR37" s="393"/>
      <c r="FS37" s="393"/>
      <c r="FT37" s="393"/>
      <c r="FU37" s="393"/>
      <c r="FV37" s="393"/>
      <c r="FW37" s="393"/>
      <c r="FX37" s="393"/>
      <c r="FY37" s="393"/>
      <c r="FZ37" s="393"/>
      <c r="GA37" s="393"/>
      <c r="GB37" s="393"/>
      <c r="GC37" s="393"/>
      <c r="GD37" s="393"/>
      <c r="GE37" s="393"/>
      <c r="GF37" s="393"/>
      <c r="GG37" s="393"/>
      <c r="GH37" s="393"/>
      <c r="GI37" s="393"/>
      <c r="GJ37" s="393"/>
      <c r="GK37" s="393"/>
      <c r="GL37" s="393"/>
      <c r="GM37" s="393"/>
      <c r="GN37" s="393"/>
      <c r="GO37" s="393"/>
      <c r="GP37" s="393"/>
      <c r="GQ37" s="393"/>
      <c r="GR37" s="393"/>
      <c r="GS37" s="393"/>
      <c r="GT37" s="393"/>
      <c r="GU37" s="393"/>
      <c r="GV37" s="393"/>
      <c r="GW37" s="393"/>
      <c r="GX37" s="393"/>
      <c r="GY37" s="393"/>
      <c r="GZ37" s="393"/>
      <c r="HA37" s="393"/>
      <c r="HB37" s="393"/>
      <c r="HC37" s="393"/>
      <c r="HD37" s="393"/>
      <c r="HE37" s="393"/>
      <c r="HF37" s="393"/>
      <c r="HG37" s="393"/>
      <c r="HH37" s="393"/>
      <c r="HI37" s="393"/>
      <c r="HJ37" s="393"/>
      <c r="HK37" s="393"/>
      <c r="HL37" s="393"/>
      <c r="HM37" s="393"/>
      <c r="HN37" s="393"/>
      <c r="HO37" s="393"/>
      <c r="HP37" s="393"/>
      <c r="HQ37" s="393"/>
      <c r="HR37" s="393"/>
      <c r="HS37" s="393"/>
      <c r="HT37" s="393"/>
      <c r="HU37" s="393"/>
      <c r="HV37" s="393"/>
      <c r="HW37" s="393"/>
      <c r="HX37" s="393"/>
      <c r="HY37" s="393"/>
      <c r="HZ37" s="393"/>
      <c r="IA37" s="393"/>
      <c r="IB37" s="393"/>
      <c r="IC37" s="393"/>
      <c r="ID37" s="393"/>
      <c r="IE37" s="393"/>
      <c r="IF37" s="393"/>
      <c r="IG37" s="393"/>
      <c r="IH37" s="393"/>
      <c r="II37" s="393"/>
      <c r="IJ37" s="393"/>
      <c r="IK37" s="393"/>
      <c r="IL37" s="393"/>
      <c r="IM37" s="393"/>
      <c r="IN37" s="393"/>
      <c r="IO37" s="393"/>
      <c r="IP37" s="393"/>
      <c r="IQ37" s="393"/>
      <c r="IR37" s="393"/>
      <c r="IS37" s="393"/>
      <c r="IT37" s="393"/>
      <c r="IU37" s="393"/>
      <c r="IV37" s="393"/>
      <c r="IW37" s="393"/>
    </row>
    <row r="38" customFormat="false" ht="12.75" hidden="false" customHeight="false" outlineLevel="0" collapsed="false">
      <c r="A38" s="394"/>
      <c r="B38" s="389" t="s">
        <v>390</v>
      </c>
      <c r="C38" s="399" t="s">
        <v>235</v>
      </c>
      <c r="D38" s="390"/>
      <c r="E38" s="396" t="n">
        <f aca="false">-PLRisk!E32</f>
        <v>-22.126566952165</v>
      </c>
      <c r="F38" s="396" t="n">
        <f aca="false">-PLRisk!F32</f>
        <v>-108.164992900188</v>
      </c>
      <c r="G38" s="396" t="n">
        <f aca="false">-PLRisk!G32</f>
        <v>-145.652564136159</v>
      </c>
      <c r="H38" s="396" t="n">
        <f aca="false">-PLRisk!H32</f>
        <v>-137.569303833754</v>
      </c>
      <c r="I38" s="396" t="n">
        <f aca="false">-PLRisk!I32</f>
        <v>-105.882310345435</v>
      </c>
      <c r="J38" s="396" t="n">
        <f aca="false">-PLRisk!J32</f>
        <v>-59.0315331873983</v>
      </c>
      <c r="K38" s="396" t="n">
        <f aca="false">-PLRisk!K32</f>
        <v>-19.7328784066373</v>
      </c>
      <c r="L38" s="396" t="n">
        <f aca="false">-PLRisk!L32</f>
        <v>-2.91659627278745</v>
      </c>
      <c r="M38" s="396" t="n">
        <f aca="false">-PLRisk!M32</f>
        <v>-0</v>
      </c>
      <c r="N38" s="396" t="n">
        <f aca="false">-PLRisk!N32</f>
        <v>-0</v>
      </c>
      <c r="O38" s="396" t="n">
        <f aca="false">-PLRisk!O32</f>
        <v>-0</v>
      </c>
      <c r="P38" s="396" t="n">
        <f aca="false">-PLRisk!P32</f>
        <v>-0</v>
      </c>
      <c r="Q38" s="396" t="n">
        <f aca="false">-PLRisk!Q32</f>
        <v>-0</v>
      </c>
      <c r="R38" s="396" t="n">
        <f aca="false">-PLRisk!R32</f>
        <v>-1.11576568674272</v>
      </c>
      <c r="S38" s="396" t="n">
        <f aca="false">-PLRisk!S32</f>
        <v>-15.3127722629162</v>
      </c>
      <c r="T38" s="396" t="n">
        <f aca="false">-PLRisk!T32</f>
        <v>-34.9830903411688</v>
      </c>
      <c r="U38" s="396" t="n">
        <f aca="false">-PLRisk!U32</f>
        <v>-59.490826821269</v>
      </c>
      <c r="V38" s="396" t="n">
        <f aca="false">-PLRisk!V32</f>
        <v>-89.3714591602343</v>
      </c>
      <c r="W38" s="396" t="n">
        <f aca="false">-PLRisk!W32</f>
        <v>-122.145443342334</v>
      </c>
      <c r="X38" s="396" t="n">
        <f aca="false">-PLRisk!X32</f>
        <v>-141.54256680591</v>
      </c>
      <c r="Y38" s="396" t="n">
        <f aca="false">-PLRisk!Y32</f>
        <v>-145.652564136159</v>
      </c>
      <c r="Z38" s="396" t="n">
        <f aca="false">-PLRisk!Z32</f>
        <v>-115.199758640876</v>
      </c>
      <c r="AA38" s="392" t="n">
        <f aca="false">SUM(D38:Z38)</f>
        <v>-1325.89099323213</v>
      </c>
      <c r="AB38" s="392" t="n">
        <f aca="false">$E38+NPV(Disc,$F38:Z38)</f>
        <v>-413.219649837633</v>
      </c>
      <c r="AC38" s="393"/>
      <c r="AD38" s="393"/>
      <c r="AE38" s="393"/>
      <c r="AF38" s="393"/>
      <c r="AG38" s="393"/>
      <c r="AH38" s="393"/>
      <c r="AI38" s="393"/>
      <c r="AJ38" s="393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3"/>
      <c r="CA38" s="393"/>
      <c r="CB38" s="393"/>
      <c r="CC38" s="393"/>
      <c r="CD38" s="393"/>
      <c r="CE38" s="393"/>
      <c r="CF38" s="393"/>
      <c r="CG38" s="393"/>
      <c r="CH38" s="393"/>
      <c r="CI38" s="393"/>
      <c r="CJ38" s="393"/>
      <c r="CK38" s="393"/>
      <c r="CL38" s="393"/>
      <c r="CM38" s="393"/>
      <c r="CN38" s="393"/>
      <c r="CO38" s="393"/>
      <c r="CP38" s="393"/>
      <c r="CQ38" s="393"/>
      <c r="CR38" s="393"/>
      <c r="CS38" s="393"/>
      <c r="CT38" s="393"/>
      <c r="CU38" s="393"/>
      <c r="CV38" s="393"/>
      <c r="CW38" s="393"/>
      <c r="CX38" s="393"/>
      <c r="CY38" s="393"/>
      <c r="CZ38" s="393"/>
      <c r="DA38" s="393"/>
      <c r="DB38" s="393"/>
      <c r="DC38" s="393"/>
      <c r="DD38" s="393"/>
      <c r="DE38" s="393"/>
      <c r="DF38" s="393"/>
      <c r="DG38" s="393"/>
      <c r="DH38" s="393"/>
      <c r="DI38" s="393"/>
      <c r="DJ38" s="393"/>
      <c r="DK38" s="393"/>
      <c r="DL38" s="393"/>
      <c r="DM38" s="393"/>
      <c r="DN38" s="393"/>
      <c r="DO38" s="393"/>
      <c r="DP38" s="393"/>
      <c r="DQ38" s="393"/>
      <c r="DR38" s="393"/>
      <c r="DS38" s="393"/>
      <c r="DT38" s="393"/>
      <c r="DU38" s="393"/>
      <c r="DV38" s="393"/>
      <c r="DW38" s="393"/>
      <c r="DX38" s="393"/>
      <c r="DY38" s="393"/>
      <c r="DZ38" s="393"/>
      <c r="EA38" s="393"/>
      <c r="EB38" s="393"/>
      <c r="EC38" s="393"/>
      <c r="ED38" s="393"/>
      <c r="EE38" s="393"/>
      <c r="EF38" s="393"/>
      <c r="EG38" s="393"/>
      <c r="EH38" s="393"/>
      <c r="EI38" s="393"/>
      <c r="EJ38" s="393"/>
      <c r="EK38" s="393"/>
      <c r="EL38" s="393"/>
      <c r="EM38" s="393"/>
      <c r="EN38" s="393"/>
      <c r="EO38" s="393"/>
      <c r="EP38" s="393"/>
      <c r="EQ38" s="393"/>
      <c r="ER38" s="393"/>
      <c r="ES38" s="393"/>
      <c r="ET38" s="393"/>
      <c r="EU38" s="393"/>
      <c r="EV38" s="393"/>
      <c r="EW38" s="393"/>
      <c r="EX38" s="393"/>
      <c r="EY38" s="393"/>
      <c r="EZ38" s="393"/>
      <c r="FA38" s="393"/>
      <c r="FB38" s="393"/>
      <c r="FC38" s="393"/>
      <c r="FD38" s="393"/>
      <c r="FE38" s="393"/>
      <c r="FF38" s="393"/>
      <c r="FG38" s="393"/>
      <c r="FH38" s="393"/>
      <c r="FI38" s="393"/>
      <c r="FJ38" s="393"/>
      <c r="FK38" s="393"/>
      <c r="FL38" s="393"/>
      <c r="FM38" s="393"/>
      <c r="FN38" s="393"/>
      <c r="FO38" s="393"/>
      <c r="FP38" s="393"/>
      <c r="FQ38" s="393"/>
      <c r="FR38" s="393"/>
      <c r="FS38" s="393"/>
      <c r="FT38" s="393"/>
      <c r="FU38" s="393"/>
      <c r="FV38" s="393"/>
      <c r="FW38" s="393"/>
      <c r="FX38" s="393"/>
      <c r="FY38" s="393"/>
      <c r="FZ38" s="393"/>
      <c r="GA38" s="393"/>
      <c r="GB38" s="393"/>
      <c r="GC38" s="393"/>
      <c r="GD38" s="393"/>
      <c r="GE38" s="393"/>
      <c r="GF38" s="393"/>
      <c r="GG38" s="393"/>
      <c r="GH38" s="393"/>
      <c r="GI38" s="393"/>
      <c r="GJ38" s="393"/>
      <c r="GK38" s="393"/>
      <c r="GL38" s="393"/>
      <c r="GM38" s="393"/>
      <c r="GN38" s="393"/>
      <c r="GO38" s="393"/>
      <c r="GP38" s="393"/>
      <c r="GQ38" s="393"/>
      <c r="GR38" s="393"/>
      <c r="GS38" s="393"/>
      <c r="GT38" s="393"/>
      <c r="GU38" s="393"/>
      <c r="GV38" s="393"/>
      <c r="GW38" s="393"/>
      <c r="GX38" s="393"/>
      <c r="GY38" s="393"/>
      <c r="GZ38" s="393"/>
      <c r="HA38" s="393"/>
      <c r="HB38" s="393"/>
      <c r="HC38" s="393"/>
      <c r="HD38" s="393"/>
      <c r="HE38" s="393"/>
      <c r="HF38" s="393"/>
      <c r="HG38" s="393"/>
      <c r="HH38" s="393"/>
      <c r="HI38" s="393"/>
      <c r="HJ38" s="393"/>
      <c r="HK38" s="393"/>
      <c r="HL38" s="393"/>
      <c r="HM38" s="393"/>
      <c r="HN38" s="393"/>
      <c r="HO38" s="393"/>
      <c r="HP38" s="393"/>
      <c r="HQ38" s="393"/>
      <c r="HR38" s="393"/>
      <c r="HS38" s="393"/>
      <c r="HT38" s="393"/>
      <c r="HU38" s="393"/>
      <c r="HV38" s="393"/>
      <c r="HW38" s="393"/>
      <c r="HX38" s="393"/>
      <c r="HY38" s="393"/>
      <c r="HZ38" s="393"/>
      <c r="IA38" s="393"/>
      <c r="IB38" s="393"/>
      <c r="IC38" s="393"/>
      <c r="ID38" s="393"/>
      <c r="IE38" s="393"/>
      <c r="IF38" s="393"/>
      <c r="IG38" s="393"/>
      <c r="IH38" s="393"/>
      <c r="II38" s="393"/>
      <c r="IJ38" s="393"/>
      <c r="IK38" s="393"/>
      <c r="IL38" s="393"/>
      <c r="IM38" s="393"/>
      <c r="IN38" s="393"/>
      <c r="IO38" s="393"/>
      <c r="IP38" s="393"/>
      <c r="IQ38" s="393"/>
      <c r="IR38" s="393"/>
      <c r="IS38" s="393"/>
      <c r="IT38" s="393"/>
      <c r="IU38" s="393"/>
      <c r="IV38" s="393"/>
      <c r="IW38" s="393"/>
    </row>
    <row r="39" customFormat="false" ht="12.75" hidden="false" customHeight="false" outlineLevel="0" collapsed="false">
      <c r="A39" s="410"/>
      <c r="B39" s="403" t="s">
        <v>391</v>
      </c>
      <c r="C39" s="404" t="s">
        <v>235</v>
      </c>
      <c r="D39" s="405"/>
      <c r="E39" s="406" t="n">
        <f aca="false">IF(E$7&lt;YEAR(Startconst),0,HLOOKUP(DATE(E$7,12,31),Draw_Table,Drawdown!$AQ$57)*Turnkey!$D$18-SUM($D39:D39))</f>
        <v>992.538969032817</v>
      </c>
      <c r="F39" s="406" t="n">
        <f aca="false">IF(F$7&lt;YEAR(Startconst),0,HLOOKUP(DATE(F$7,12,31),Draw_Table,Drawdown!$AQ$57)*Turnkey!$D$18-SUM($D39:E39))</f>
        <v>3827.78741660064</v>
      </c>
      <c r="G39" s="406" t="n">
        <f aca="false">IF(G$7&lt;YEAR(Startconst),0,HLOOKUP(DATE(G$7,12,31),Draw_Table,Drawdown!$AQ$57)*Turnkey!$D$18-SUM($D39:F39))</f>
        <v>67.8736143665419</v>
      </c>
      <c r="H39" s="406" t="n">
        <f aca="false">IF(H$7&lt;YEAR(Startconst),0,HLOOKUP(DATE(H$7,12,31),Draw_Table,Drawdown!$AQ$57)*Turnkey!$D$18-SUM($D39:G39))</f>
        <v>0</v>
      </c>
      <c r="I39" s="406" t="n">
        <f aca="false">IF(I$7&lt;YEAR(Startconst),0,HLOOKUP(DATE(I$7,12,31),Draw_Table,Drawdown!$AQ$57)*Turnkey!$D$18-SUM($D39:H39))</f>
        <v>0</v>
      </c>
      <c r="J39" s="406" t="n">
        <f aca="false">IF(J$7&lt;YEAR(Startconst),0,HLOOKUP(DATE(J$7,12,31),Draw_Table,Drawdown!$AQ$57)*Turnkey!$D$18-SUM($D39:I39))</f>
        <v>0</v>
      </c>
      <c r="K39" s="406" t="n">
        <f aca="false">IF(K$7&lt;YEAR(Startconst),0,HLOOKUP(DATE(K$7,12,31),Draw_Table,Drawdown!$AQ$57)*Turnkey!$D$18-SUM($D39:J39))</f>
        <v>0</v>
      </c>
      <c r="L39" s="406" t="n">
        <f aca="false">IF(L$7&lt;YEAR(Startconst),0,HLOOKUP(DATE(L$7,12,31),Draw_Table,Drawdown!$AQ$57)*Turnkey!$D$18-SUM($D39:K39))</f>
        <v>0</v>
      </c>
      <c r="M39" s="406" t="n">
        <f aca="false">IF(M$7&lt;YEAR(Startconst),0,HLOOKUP(DATE(M$7,12,31),Draw_Table,Drawdown!$AQ$57)*Turnkey!$D$18-SUM($D39:L39))</f>
        <v>0</v>
      </c>
      <c r="N39" s="406" t="n">
        <f aca="false">IF(N$7&lt;YEAR(Startconst),0,HLOOKUP(DATE(N$7,12,31),Draw_Table,Drawdown!$AQ$57)*Turnkey!$D$18-SUM($D39:M39))</f>
        <v>0</v>
      </c>
      <c r="O39" s="406" t="n">
        <f aca="false">IF(O$7&lt;YEAR(Startconst),0,HLOOKUP(DATE(O$7,12,31),Draw_Table,Drawdown!$AQ$57)*Turnkey!$D$18-SUM($D39:N39))</f>
        <v>0</v>
      </c>
      <c r="P39" s="406" t="n">
        <f aca="false">IF(P$7&lt;YEAR(Startconst),0,HLOOKUP(DATE(P$7,12,31),Draw_Table,Drawdown!$AQ$57)*Turnkey!$D$18-SUM($D39:O39))</f>
        <v>0</v>
      </c>
      <c r="Q39" s="406" t="n">
        <f aca="false">IF(Q$7&lt;YEAR(Startconst),0,HLOOKUP(DATE(Q$7,12,31),Draw_Table,Drawdown!$AQ$57)*Turnkey!$D$18-SUM($D39:P39))</f>
        <v>0</v>
      </c>
      <c r="R39" s="406" t="n">
        <f aca="false">IF(R$7&lt;YEAR(Startconst),0,HLOOKUP(DATE(R$7,12,31),Draw_Table,Drawdown!$AQ$57)*Turnkey!$D$18-SUM($D39:Q39))</f>
        <v>0</v>
      </c>
      <c r="S39" s="406" t="n">
        <f aca="false">IF(S$7&lt;YEAR(Startconst),0,HLOOKUP(DATE(S$7,12,31),Draw_Table,Drawdown!$AQ$57)*Turnkey!$D$18-SUM($D39:R39))</f>
        <v>0</v>
      </c>
      <c r="T39" s="406" t="n">
        <f aca="false">IF(T$7&lt;YEAR(Startconst),0,HLOOKUP(DATE(T$7,12,31),Draw_Table,Drawdown!$AQ$57)*Turnkey!$D$18-SUM($D39:S39))</f>
        <v>0</v>
      </c>
      <c r="U39" s="406" t="n">
        <f aca="false">IF(U$7&lt;YEAR(Startconst),0,HLOOKUP(DATE(U$7,12,31),Draw_Table,Drawdown!$AQ$57)*Turnkey!$D$18-SUM($D39:T39))</f>
        <v>0</v>
      </c>
      <c r="V39" s="406" t="n">
        <f aca="false">IF(V$7&lt;YEAR(Startconst),0,HLOOKUP(DATE(V$7,12,31),Draw_Table,Drawdown!$AQ$57)*Turnkey!$D$18-SUM($D39:U39))</f>
        <v>0</v>
      </c>
      <c r="W39" s="406" t="n">
        <f aca="false">IF(W$7&lt;YEAR(Startconst),0,HLOOKUP(DATE(W$7,12,31),Draw_Table,Drawdown!$AQ$57)*Turnkey!$D$18-SUM($D39:V39))</f>
        <v>0</v>
      </c>
      <c r="X39" s="406" t="n">
        <f aca="false">IF(X$7&lt;YEAR(Startconst),0,HLOOKUP(DATE(X$7,12,31),Draw_Table,Drawdown!$AQ$57)*Turnkey!$D$18-SUM($D39:W39))</f>
        <v>0</v>
      </c>
      <c r="Y39" s="406" t="n">
        <f aca="false">IF(Y$7&lt;YEAR(Startconst),0,HLOOKUP(DATE(Y$7,12,31),Draw_Table,Drawdown!$AQ$57)*Turnkey!$D$18-SUM($D39:X39))</f>
        <v>0</v>
      </c>
      <c r="Z39" s="406" t="n">
        <f aca="false">IF(Z$7&lt;YEAR(Startconst),0,HLOOKUP(DATE(Z$7,12,31),Draw_Table,Drawdown!$AQ$57)*Turnkey!$D$18-SUM($D39:Y39))</f>
        <v>0</v>
      </c>
      <c r="AA39" s="407" t="n">
        <f aca="false">SUM(D39:Z39)</f>
        <v>4888.2</v>
      </c>
      <c r="AB39" s="407" t="n">
        <f aca="false">$E39+NPV(Disc,$F39:Z39)</f>
        <v>4257.09700880494</v>
      </c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/>
      <c r="BD39" s="408"/>
      <c r="BE39" s="408"/>
      <c r="BF39" s="408"/>
      <c r="BG39" s="408"/>
      <c r="BH39" s="408"/>
      <c r="BI39" s="408"/>
      <c r="BJ39" s="408"/>
      <c r="BK39" s="408"/>
      <c r="BL39" s="408"/>
      <c r="BM39" s="408"/>
      <c r="BN39" s="408"/>
      <c r="BO39" s="408"/>
      <c r="BP39" s="408"/>
      <c r="BQ39" s="408"/>
      <c r="BR39" s="408"/>
      <c r="BS39" s="408"/>
      <c r="BT39" s="408"/>
      <c r="BU39" s="408"/>
      <c r="BV39" s="408"/>
      <c r="BW39" s="408"/>
      <c r="BX39" s="408"/>
      <c r="BY39" s="408"/>
      <c r="BZ39" s="408"/>
      <c r="CA39" s="408"/>
      <c r="CB39" s="408"/>
      <c r="CC39" s="408"/>
      <c r="CD39" s="408"/>
      <c r="CE39" s="408"/>
      <c r="CF39" s="408"/>
      <c r="CG39" s="408"/>
      <c r="CH39" s="408"/>
      <c r="CI39" s="408"/>
      <c r="CJ39" s="408"/>
      <c r="CK39" s="408"/>
      <c r="CL39" s="408"/>
      <c r="CM39" s="408"/>
      <c r="CN39" s="408"/>
      <c r="CO39" s="408"/>
      <c r="CP39" s="408"/>
      <c r="CQ39" s="408"/>
      <c r="CR39" s="408"/>
      <c r="CS39" s="408"/>
      <c r="CT39" s="408"/>
      <c r="CU39" s="408"/>
      <c r="CV39" s="408"/>
      <c r="CW39" s="408"/>
      <c r="CX39" s="408"/>
      <c r="CY39" s="408"/>
      <c r="CZ39" s="408"/>
      <c r="DA39" s="408"/>
      <c r="DB39" s="408"/>
      <c r="DC39" s="408"/>
      <c r="DD39" s="408"/>
      <c r="DE39" s="408"/>
      <c r="DF39" s="408"/>
      <c r="DG39" s="408"/>
      <c r="DH39" s="408"/>
      <c r="DI39" s="408"/>
      <c r="DJ39" s="408"/>
      <c r="DK39" s="408"/>
      <c r="DL39" s="408"/>
      <c r="DM39" s="408"/>
      <c r="DN39" s="408"/>
      <c r="DO39" s="408"/>
      <c r="DP39" s="408"/>
      <c r="DQ39" s="408"/>
      <c r="DR39" s="408"/>
      <c r="DS39" s="408"/>
      <c r="DT39" s="408"/>
      <c r="DU39" s="408"/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/>
      <c r="EJ39" s="408"/>
      <c r="EK39" s="408"/>
      <c r="EL39" s="408"/>
      <c r="EM39" s="408"/>
      <c r="EN39" s="408"/>
      <c r="EO39" s="408"/>
      <c r="EP39" s="408"/>
      <c r="EQ39" s="408"/>
      <c r="ER39" s="408"/>
      <c r="ES39" s="408"/>
      <c r="ET39" s="408"/>
      <c r="EU39" s="408"/>
      <c r="EV39" s="408"/>
      <c r="EW39" s="408"/>
      <c r="EX39" s="408"/>
      <c r="EY39" s="408"/>
      <c r="EZ39" s="408"/>
      <c r="FA39" s="408"/>
      <c r="FB39" s="408"/>
      <c r="FC39" s="408"/>
      <c r="FD39" s="408"/>
      <c r="FE39" s="408"/>
      <c r="FF39" s="408"/>
      <c r="FG39" s="408"/>
      <c r="FH39" s="408"/>
      <c r="FI39" s="408"/>
      <c r="FJ39" s="408"/>
      <c r="FK39" s="408"/>
      <c r="FL39" s="408"/>
      <c r="FM39" s="408"/>
      <c r="FN39" s="408"/>
      <c r="FO39" s="408"/>
      <c r="FP39" s="408"/>
      <c r="FQ39" s="408"/>
      <c r="FR39" s="408"/>
      <c r="FS39" s="408"/>
      <c r="FT39" s="408"/>
      <c r="FU39" s="408"/>
      <c r="FV39" s="408"/>
      <c r="FW39" s="408"/>
      <c r="FX39" s="408"/>
      <c r="FY39" s="408"/>
      <c r="FZ39" s="408"/>
      <c r="GA39" s="408"/>
      <c r="GB39" s="408"/>
      <c r="GC39" s="408"/>
      <c r="GD39" s="408"/>
      <c r="GE39" s="408"/>
      <c r="GF39" s="408"/>
      <c r="GG39" s="408"/>
      <c r="GH39" s="408"/>
      <c r="GI39" s="408"/>
      <c r="GJ39" s="408"/>
      <c r="GK39" s="408"/>
      <c r="GL39" s="408"/>
      <c r="GM39" s="408"/>
      <c r="GN39" s="408"/>
      <c r="GO39" s="408"/>
      <c r="GP39" s="408"/>
      <c r="GQ39" s="408"/>
      <c r="GR39" s="408"/>
      <c r="GS39" s="408"/>
      <c r="GT39" s="408"/>
      <c r="GU39" s="408"/>
      <c r="GV39" s="408"/>
      <c r="GW39" s="408"/>
      <c r="GX39" s="408"/>
      <c r="GY39" s="408"/>
      <c r="GZ39" s="408"/>
      <c r="HA39" s="408"/>
      <c r="HB39" s="408"/>
      <c r="HC39" s="408"/>
      <c r="HD39" s="408"/>
      <c r="HE39" s="408"/>
      <c r="HF39" s="408"/>
      <c r="HG39" s="408"/>
      <c r="HH39" s="408"/>
      <c r="HI39" s="408"/>
      <c r="HJ39" s="408"/>
      <c r="HK39" s="408"/>
      <c r="HL39" s="408"/>
      <c r="HM39" s="408"/>
      <c r="HN39" s="408"/>
      <c r="HO39" s="408"/>
      <c r="HP39" s="408"/>
      <c r="HQ39" s="408"/>
      <c r="HR39" s="408"/>
      <c r="HS39" s="408"/>
      <c r="HT39" s="408"/>
      <c r="HU39" s="408"/>
      <c r="HV39" s="408"/>
      <c r="HW39" s="408"/>
      <c r="HX39" s="408"/>
      <c r="HY39" s="408"/>
      <c r="HZ39" s="408"/>
      <c r="IA39" s="408"/>
      <c r="IB39" s="408"/>
      <c r="IC39" s="408"/>
      <c r="ID39" s="408"/>
      <c r="IE39" s="408"/>
      <c r="IF39" s="408"/>
      <c r="IG39" s="408"/>
      <c r="IH39" s="408"/>
      <c r="II39" s="408"/>
      <c r="IJ39" s="408"/>
      <c r="IK39" s="408"/>
      <c r="IL39" s="408"/>
      <c r="IM39" s="408"/>
      <c r="IN39" s="408"/>
      <c r="IO39" s="408"/>
      <c r="IP39" s="408"/>
      <c r="IQ39" s="408"/>
      <c r="IR39" s="408"/>
      <c r="IS39" s="408"/>
      <c r="IT39" s="408"/>
      <c r="IU39" s="408"/>
      <c r="IV39" s="408"/>
      <c r="IW39" s="408"/>
    </row>
    <row r="40" customFormat="false" ht="12.75" hidden="false" customHeight="false" outlineLevel="0" collapsed="false">
      <c r="A40" s="410"/>
      <c r="B40" s="403" t="s">
        <v>392</v>
      </c>
      <c r="C40" s="404" t="s">
        <v>235</v>
      </c>
      <c r="D40" s="405"/>
      <c r="E40" s="406" t="n">
        <f aca="false">-E39*Wh_Serv</f>
        <v>-148.880845354923</v>
      </c>
      <c r="F40" s="406" t="n">
        <f aca="false">-F39*Wh_Serv</f>
        <v>-574.168112490096</v>
      </c>
      <c r="G40" s="406" t="n">
        <f aca="false">-G39*Wh_Serv</f>
        <v>-10.1810421549813</v>
      </c>
      <c r="H40" s="406" t="n">
        <f aca="false">-H39*Wh_Serv</f>
        <v>-0</v>
      </c>
      <c r="I40" s="406" t="n">
        <f aca="false">-I39*Wh_Serv</f>
        <v>-0</v>
      </c>
      <c r="J40" s="406" t="n">
        <f aca="false">-J39*Wh_Serv</f>
        <v>-0</v>
      </c>
      <c r="K40" s="406" t="n">
        <f aca="false">-K39*Wh_Serv</f>
        <v>-0</v>
      </c>
      <c r="L40" s="406" t="n">
        <f aca="false">-L39*Wh_Serv</f>
        <v>-0</v>
      </c>
      <c r="M40" s="406" t="n">
        <f aca="false">-M39*Wh_Serv</f>
        <v>-0</v>
      </c>
      <c r="N40" s="406" t="n">
        <f aca="false">-N39*Wh_Serv</f>
        <v>-0</v>
      </c>
      <c r="O40" s="406" t="n">
        <f aca="false">-O39*Wh_Serv</f>
        <v>-0</v>
      </c>
      <c r="P40" s="406" t="n">
        <f aca="false">-P39*Wh_Serv</f>
        <v>-0</v>
      </c>
      <c r="Q40" s="406" t="n">
        <f aca="false">-Q39*Wh_Serv</f>
        <v>-0</v>
      </c>
      <c r="R40" s="406" t="n">
        <f aca="false">-R39*Wh_Serv</f>
        <v>-0</v>
      </c>
      <c r="S40" s="406" t="n">
        <f aca="false">-S39*Wh_Serv</f>
        <v>-0</v>
      </c>
      <c r="T40" s="406" t="n">
        <f aca="false">-T39*Wh_Serv</f>
        <v>-0</v>
      </c>
      <c r="U40" s="406" t="n">
        <f aca="false">-U39*Wh_Serv</f>
        <v>-0</v>
      </c>
      <c r="V40" s="406" t="n">
        <f aca="false">-V39*Wh_Serv</f>
        <v>-0</v>
      </c>
      <c r="W40" s="406" t="n">
        <f aca="false">-W39*Wh_Serv</f>
        <v>-0</v>
      </c>
      <c r="X40" s="406" t="n">
        <f aca="false">-X39*Wh_Serv</f>
        <v>-0</v>
      </c>
      <c r="Y40" s="406" t="n">
        <f aca="false">-Y39*Wh_Serv</f>
        <v>-0</v>
      </c>
      <c r="Z40" s="406" t="n">
        <f aca="false">-Z39*Wh_Serv</f>
        <v>-0</v>
      </c>
      <c r="AA40" s="407" t="n">
        <f aca="false">SUM(D40:Z40)</f>
        <v>-733.23</v>
      </c>
      <c r="AB40" s="407" t="n">
        <f aca="false">$E40+NPV(Disc,$F40:Z40)</f>
        <v>-638.564551320741</v>
      </c>
      <c r="AC40" s="408"/>
      <c r="AD40" s="408"/>
      <c r="AE40" s="408"/>
      <c r="AF40" s="408"/>
      <c r="AG40" s="408"/>
      <c r="AH40" s="408"/>
      <c r="AI40" s="408"/>
      <c r="AJ40" s="408"/>
      <c r="AK40" s="408"/>
      <c r="AL40" s="408"/>
      <c r="AM40" s="408"/>
      <c r="AN40" s="408"/>
      <c r="AO40" s="408"/>
      <c r="AP40" s="408"/>
      <c r="AQ40" s="408"/>
      <c r="AR40" s="408"/>
      <c r="AS40" s="408"/>
      <c r="AT40" s="408"/>
      <c r="AU40" s="408"/>
      <c r="AV40" s="408"/>
      <c r="AW40" s="408"/>
      <c r="AX40" s="408"/>
      <c r="AY40" s="408"/>
      <c r="AZ40" s="408"/>
      <c r="BA40" s="408"/>
      <c r="BB40" s="408"/>
      <c r="BC40" s="408"/>
      <c r="BD40" s="408"/>
      <c r="BE40" s="408"/>
      <c r="BF40" s="408"/>
      <c r="BG40" s="408"/>
      <c r="BH40" s="408"/>
      <c r="BI40" s="408"/>
      <c r="BJ40" s="408"/>
      <c r="BK40" s="408"/>
      <c r="BL40" s="408"/>
      <c r="BM40" s="408"/>
      <c r="BN40" s="408"/>
      <c r="BO40" s="408"/>
      <c r="BP40" s="408"/>
      <c r="BQ40" s="408"/>
      <c r="BR40" s="408"/>
      <c r="BS40" s="408"/>
      <c r="BT40" s="408"/>
      <c r="BU40" s="408"/>
      <c r="BV40" s="408"/>
      <c r="BW40" s="408"/>
      <c r="BX40" s="408"/>
      <c r="BY40" s="408"/>
      <c r="BZ40" s="408"/>
      <c r="CA40" s="408"/>
      <c r="CB40" s="408"/>
      <c r="CC40" s="408"/>
      <c r="CD40" s="408"/>
      <c r="CE40" s="408"/>
      <c r="CF40" s="408"/>
      <c r="CG40" s="408"/>
      <c r="CH40" s="408"/>
      <c r="CI40" s="408"/>
      <c r="CJ40" s="408"/>
      <c r="CK40" s="408"/>
      <c r="CL40" s="408"/>
      <c r="CM40" s="408"/>
      <c r="CN40" s="408"/>
      <c r="CO40" s="408"/>
      <c r="CP40" s="408"/>
      <c r="CQ40" s="408"/>
      <c r="CR40" s="408"/>
      <c r="CS40" s="408"/>
      <c r="CT40" s="408"/>
      <c r="CU40" s="408"/>
      <c r="CV40" s="408"/>
      <c r="CW40" s="408"/>
      <c r="CX40" s="408"/>
      <c r="CY40" s="408"/>
      <c r="CZ40" s="408"/>
      <c r="DA40" s="408"/>
      <c r="DB40" s="408"/>
      <c r="DC40" s="408"/>
      <c r="DD40" s="408"/>
      <c r="DE40" s="408"/>
      <c r="DF40" s="408"/>
      <c r="DG40" s="408"/>
      <c r="DH40" s="408"/>
      <c r="DI40" s="408"/>
      <c r="DJ40" s="408"/>
      <c r="DK40" s="408"/>
      <c r="DL40" s="408"/>
      <c r="DM40" s="408"/>
      <c r="DN40" s="408"/>
      <c r="DO40" s="408"/>
      <c r="DP40" s="408"/>
      <c r="DQ40" s="408"/>
      <c r="DR40" s="408"/>
      <c r="DS40" s="408"/>
      <c r="DT40" s="408"/>
      <c r="DU40" s="408"/>
      <c r="DV40" s="408"/>
      <c r="DW40" s="408"/>
      <c r="DX40" s="408"/>
      <c r="DY40" s="408"/>
      <c r="DZ40" s="408"/>
      <c r="EA40" s="408"/>
      <c r="EB40" s="408"/>
      <c r="EC40" s="408"/>
      <c r="ED40" s="408"/>
      <c r="EE40" s="408"/>
      <c r="EF40" s="408"/>
      <c r="EG40" s="408"/>
      <c r="EH40" s="408"/>
      <c r="EI40" s="408"/>
      <c r="EJ40" s="408"/>
      <c r="EK40" s="408"/>
      <c r="EL40" s="408"/>
      <c r="EM40" s="408"/>
      <c r="EN40" s="408"/>
      <c r="EO40" s="408"/>
      <c r="EP40" s="408"/>
      <c r="EQ40" s="408"/>
      <c r="ER40" s="408"/>
      <c r="ES40" s="408"/>
      <c r="ET40" s="408"/>
      <c r="EU40" s="408"/>
      <c r="EV40" s="408"/>
      <c r="EW40" s="408"/>
      <c r="EX40" s="408"/>
      <c r="EY40" s="408"/>
      <c r="EZ40" s="408"/>
      <c r="FA40" s="408"/>
      <c r="FB40" s="408"/>
      <c r="FC40" s="408"/>
      <c r="FD40" s="408"/>
      <c r="FE40" s="408"/>
      <c r="FF40" s="408"/>
      <c r="FG40" s="408"/>
      <c r="FH40" s="408"/>
      <c r="FI40" s="408"/>
      <c r="FJ40" s="408"/>
      <c r="FK40" s="408"/>
      <c r="FL40" s="408"/>
      <c r="FM40" s="408"/>
      <c r="FN40" s="408"/>
      <c r="FO40" s="408"/>
      <c r="FP40" s="408"/>
      <c r="FQ40" s="408"/>
      <c r="FR40" s="408"/>
      <c r="FS40" s="408"/>
      <c r="FT40" s="408"/>
      <c r="FU40" s="408"/>
      <c r="FV40" s="408"/>
      <c r="FW40" s="408"/>
      <c r="FX40" s="408"/>
      <c r="FY40" s="408"/>
      <c r="FZ40" s="408"/>
      <c r="GA40" s="408"/>
      <c r="GB40" s="408"/>
      <c r="GC40" s="408"/>
      <c r="GD40" s="408"/>
      <c r="GE40" s="408"/>
      <c r="GF40" s="408"/>
      <c r="GG40" s="408"/>
      <c r="GH40" s="408"/>
      <c r="GI40" s="408"/>
      <c r="GJ40" s="408"/>
      <c r="GK40" s="408"/>
      <c r="GL40" s="408"/>
      <c r="GM40" s="408"/>
      <c r="GN40" s="408"/>
      <c r="GO40" s="408"/>
      <c r="GP40" s="408"/>
      <c r="GQ40" s="408"/>
      <c r="GR40" s="408"/>
      <c r="GS40" s="408"/>
      <c r="GT40" s="408"/>
      <c r="GU40" s="408"/>
      <c r="GV40" s="408"/>
      <c r="GW40" s="408"/>
      <c r="GX40" s="408"/>
      <c r="GY40" s="408"/>
      <c r="GZ40" s="408"/>
      <c r="HA40" s="408"/>
      <c r="HB40" s="408"/>
      <c r="HC40" s="408"/>
      <c r="HD40" s="408"/>
      <c r="HE40" s="408"/>
      <c r="HF40" s="408"/>
      <c r="HG40" s="408"/>
      <c r="HH40" s="408"/>
      <c r="HI40" s="408"/>
      <c r="HJ40" s="408"/>
      <c r="HK40" s="408"/>
      <c r="HL40" s="408"/>
      <c r="HM40" s="408"/>
      <c r="HN40" s="408"/>
      <c r="HO40" s="408"/>
      <c r="HP40" s="408"/>
      <c r="HQ40" s="408"/>
      <c r="HR40" s="408"/>
      <c r="HS40" s="408"/>
      <c r="HT40" s="408"/>
      <c r="HU40" s="408"/>
      <c r="HV40" s="408"/>
      <c r="HW40" s="408"/>
      <c r="HX40" s="408"/>
      <c r="HY40" s="408"/>
      <c r="HZ40" s="408"/>
      <c r="IA40" s="408"/>
      <c r="IB40" s="408"/>
      <c r="IC40" s="408"/>
      <c r="ID40" s="408"/>
      <c r="IE40" s="408"/>
      <c r="IF40" s="408"/>
      <c r="IG40" s="408"/>
      <c r="IH40" s="408"/>
      <c r="II40" s="408"/>
      <c r="IJ40" s="408"/>
      <c r="IK40" s="408"/>
      <c r="IL40" s="408"/>
      <c r="IM40" s="408"/>
      <c r="IN40" s="408"/>
      <c r="IO40" s="408"/>
      <c r="IP40" s="408"/>
      <c r="IQ40" s="408"/>
      <c r="IR40" s="408"/>
      <c r="IS40" s="408"/>
      <c r="IT40" s="408"/>
      <c r="IU40" s="408"/>
      <c r="IV40" s="408"/>
      <c r="IW40" s="408"/>
    </row>
    <row r="41" customFormat="false" ht="12.75" hidden="false" customHeight="false" outlineLevel="0" collapsed="false">
      <c r="A41" s="411"/>
      <c r="B41" s="389" t="s">
        <v>393</v>
      </c>
      <c r="C41" s="397"/>
      <c r="D41" s="390"/>
      <c r="E41" s="412" t="n">
        <f aca="false">-SUM(E31,E34:E40)*USTax</f>
        <v>-303.96667598852</v>
      </c>
      <c r="F41" s="412" t="n">
        <f aca="false">-SUM(F31,F34:F40)*USTax</f>
        <v>-1163.81809514783</v>
      </c>
      <c r="G41" s="412" t="n">
        <f aca="false">-SUM(G31,G34:G40)*USTax</f>
        <v>32.5451970121012</v>
      </c>
      <c r="H41" s="412" t="n">
        <f aca="false">-SUM(H31,H34:H40)*USTax</f>
        <v>403.044242875042</v>
      </c>
      <c r="I41" s="412" t="n">
        <f aca="false">-SUM(I31,I34:I40)*USTax</f>
        <v>18.8604778783945</v>
      </c>
      <c r="J41" s="412" t="n">
        <f aca="false">-SUM(J31,J34:J40)*USTax</f>
        <v>6.1567288636151</v>
      </c>
      <c r="K41" s="412" t="n">
        <f aca="false">-SUM(K31,K34:K40)*USTax</f>
        <v>-8.38377340526647</v>
      </c>
      <c r="L41" s="412" t="n">
        <f aca="false">-SUM(L31,L34:L40)*USTax</f>
        <v>-71.141481405465</v>
      </c>
      <c r="M41" s="412" t="n">
        <f aca="false">-SUM(M31,M34:M40)*USTax</f>
        <v>-140.908969117349</v>
      </c>
      <c r="N41" s="412" t="n">
        <f aca="false">-SUM(N31,N34:N40)*USTax</f>
        <v>-195.845095791439</v>
      </c>
      <c r="O41" s="412" t="n">
        <f aca="false">-SUM(O31,O34:O40)*USTax</f>
        <v>-254.89046793408</v>
      </c>
      <c r="P41" s="412" t="n">
        <f aca="false">-SUM(P31,P34:P40)*USTax</f>
        <v>-315.136956666265</v>
      </c>
      <c r="Q41" s="412" t="n">
        <f aca="false">-SUM(Q31,Q34:Q40)*USTax</f>
        <v>-371.195156200125</v>
      </c>
      <c r="R41" s="412" t="n">
        <f aca="false">-SUM(R31,R34:R40)*USTax</f>
        <v>-380.684002823828</v>
      </c>
      <c r="S41" s="412" t="n">
        <f aca="false">-SUM(S31,S34:S40)*USTax</f>
        <v>-359.903987513618</v>
      </c>
      <c r="T41" s="412" t="n">
        <f aca="false">-SUM(T31,T34:T40)*USTax</f>
        <v>-341.09996105462</v>
      </c>
      <c r="U41" s="412" t="n">
        <f aca="false">-SUM(U31,U34:U40)*USTax</f>
        <v>-324.243099172894</v>
      </c>
      <c r="V41" s="412" t="n">
        <f aca="false">-SUM(V31,V34:V40)*USTax</f>
        <v>-269.18600710721</v>
      </c>
      <c r="W41" s="412" t="n">
        <f aca="false">-SUM(W31,W34:W40)*USTax</f>
        <v>-199.550584901325</v>
      </c>
      <c r="X41" s="412" t="n">
        <f aca="false">-SUM(X31,X34:X40)*USTax</f>
        <v>-105.736967512677</v>
      </c>
      <c r="Y41" s="412" t="n">
        <f aca="false">-SUM(Y31,Y34:Y40)*USTax</f>
        <v>40.5361774464701</v>
      </c>
      <c r="Z41" s="412" t="n">
        <f aca="false">-SUM(Z31,Z34:Z40)*USTax</f>
        <v>145.122719542899</v>
      </c>
      <c r="AA41" s="413" t="n">
        <f aca="false">SUM(D41:Z41)</f>
        <v>-4159.42573812399</v>
      </c>
      <c r="AB41" s="413" t="n">
        <f aca="false">$E41+NPV(Disc,$F41:Z41)</f>
        <v>-1382.9933817812</v>
      </c>
      <c r="AC41" s="393"/>
      <c r="AD41" s="414"/>
      <c r="AE41" s="414"/>
      <c r="AF41" s="414"/>
      <c r="AG41" s="414"/>
      <c r="AH41" s="414"/>
      <c r="AI41" s="414"/>
      <c r="AJ41" s="414"/>
      <c r="AK41" s="414"/>
      <c r="AL41" s="414"/>
      <c r="AM41" s="414"/>
      <c r="AN41" s="414"/>
      <c r="AO41" s="414"/>
      <c r="AP41" s="414"/>
      <c r="AQ41" s="414"/>
      <c r="AR41" s="414"/>
      <c r="AS41" s="414"/>
      <c r="AT41" s="414"/>
      <c r="AU41" s="414"/>
      <c r="AV41" s="414"/>
      <c r="AW41" s="414"/>
      <c r="AX41" s="414"/>
      <c r="AY41" s="414"/>
      <c r="AZ41" s="414"/>
      <c r="BA41" s="414"/>
      <c r="BB41" s="414"/>
      <c r="BC41" s="414"/>
      <c r="BD41" s="414"/>
      <c r="BE41" s="414"/>
      <c r="BF41" s="414"/>
      <c r="BG41" s="414"/>
      <c r="BH41" s="414"/>
      <c r="BI41" s="414"/>
      <c r="BJ41" s="414"/>
      <c r="BK41" s="414"/>
      <c r="BL41" s="414"/>
      <c r="BM41" s="414"/>
      <c r="BN41" s="414"/>
      <c r="BO41" s="414"/>
      <c r="BP41" s="414"/>
      <c r="BQ41" s="414"/>
      <c r="BR41" s="414"/>
      <c r="BS41" s="414"/>
      <c r="BT41" s="414"/>
      <c r="BU41" s="414"/>
      <c r="BV41" s="414"/>
      <c r="BW41" s="414"/>
      <c r="BX41" s="414"/>
      <c r="BY41" s="414"/>
      <c r="BZ41" s="414"/>
      <c r="CA41" s="414"/>
      <c r="CB41" s="414"/>
      <c r="CC41" s="414"/>
      <c r="CD41" s="414"/>
      <c r="CE41" s="414"/>
      <c r="CF41" s="414"/>
      <c r="CG41" s="414"/>
      <c r="CH41" s="414"/>
      <c r="CI41" s="414"/>
      <c r="CJ41" s="414"/>
      <c r="CK41" s="414"/>
      <c r="CL41" s="414"/>
      <c r="CM41" s="414"/>
      <c r="CN41" s="414"/>
      <c r="CO41" s="414"/>
      <c r="CP41" s="414"/>
      <c r="CQ41" s="414"/>
      <c r="CR41" s="414"/>
      <c r="CS41" s="414"/>
      <c r="CT41" s="414"/>
      <c r="CU41" s="414"/>
      <c r="CV41" s="414"/>
      <c r="CW41" s="414"/>
      <c r="CX41" s="414"/>
      <c r="CY41" s="414"/>
      <c r="CZ41" s="414"/>
      <c r="DA41" s="414"/>
      <c r="DB41" s="414"/>
      <c r="DC41" s="414"/>
      <c r="DD41" s="414"/>
      <c r="DE41" s="414"/>
      <c r="DF41" s="414"/>
      <c r="DG41" s="414"/>
      <c r="DH41" s="414"/>
      <c r="DI41" s="414"/>
      <c r="DJ41" s="414"/>
      <c r="DK41" s="414"/>
      <c r="DL41" s="414"/>
      <c r="DM41" s="414"/>
      <c r="DN41" s="414"/>
      <c r="DO41" s="414"/>
      <c r="DP41" s="414"/>
      <c r="DQ41" s="414"/>
      <c r="DR41" s="414"/>
      <c r="DS41" s="414"/>
      <c r="DT41" s="414"/>
      <c r="DU41" s="414"/>
      <c r="DV41" s="414"/>
      <c r="DW41" s="414"/>
      <c r="DX41" s="414"/>
      <c r="DY41" s="414"/>
      <c r="DZ41" s="414"/>
      <c r="EA41" s="414"/>
      <c r="EB41" s="414"/>
      <c r="EC41" s="414"/>
      <c r="ED41" s="414"/>
      <c r="EE41" s="414"/>
      <c r="EF41" s="414"/>
      <c r="EG41" s="414"/>
      <c r="EH41" s="414"/>
      <c r="EI41" s="414"/>
      <c r="EJ41" s="414"/>
      <c r="EK41" s="414"/>
      <c r="EL41" s="414"/>
      <c r="EM41" s="414"/>
      <c r="EN41" s="414"/>
      <c r="EO41" s="414"/>
      <c r="EP41" s="414"/>
      <c r="EQ41" s="414"/>
      <c r="ER41" s="414"/>
      <c r="ES41" s="414"/>
      <c r="ET41" s="414"/>
      <c r="EU41" s="414"/>
      <c r="EV41" s="414"/>
      <c r="EW41" s="414"/>
      <c r="EX41" s="414"/>
      <c r="EY41" s="414"/>
      <c r="EZ41" s="414"/>
      <c r="FA41" s="414"/>
      <c r="FB41" s="414"/>
      <c r="FC41" s="414"/>
      <c r="FD41" s="414"/>
      <c r="FE41" s="414"/>
      <c r="FF41" s="414"/>
      <c r="FG41" s="414"/>
      <c r="FH41" s="414"/>
      <c r="FI41" s="414"/>
      <c r="FJ41" s="414"/>
      <c r="FK41" s="414"/>
      <c r="FL41" s="414"/>
      <c r="FM41" s="414"/>
      <c r="FN41" s="414"/>
      <c r="FO41" s="414"/>
      <c r="FP41" s="414"/>
      <c r="FQ41" s="414"/>
      <c r="FR41" s="414"/>
      <c r="FS41" s="414"/>
      <c r="FT41" s="414"/>
      <c r="FU41" s="414"/>
      <c r="FV41" s="414"/>
      <c r="FW41" s="414"/>
      <c r="FX41" s="414"/>
      <c r="FY41" s="414"/>
      <c r="FZ41" s="414"/>
      <c r="GA41" s="414"/>
      <c r="GB41" s="414"/>
      <c r="GC41" s="414"/>
      <c r="GD41" s="414"/>
      <c r="GE41" s="414"/>
      <c r="GF41" s="414"/>
      <c r="GG41" s="414"/>
      <c r="GH41" s="414"/>
      <c r="GI41" s="414"/>
      <c r="GJ41" s="414"/>
      <c r="GK41" s="414"/>
      <c r="GL41" s="414"/>
      <c r="GM41" s="414"/>
      <c r="GN41" s="414"/>
      <c r="GO41" s="414"/>
      <c r="GP41" s="414"/>
      <c r="GQ41" s="414"/>
      <c r="GR41" s="414"/>
      <c r="GS41" s="414"/>
      <c r="GT41" s="414"/>
      <c r="GU41" s="414"/>
      <c r="GV41" s="414"/>
      <c r="GW41" s="414"/>
      <c r="GX41" s="414"/>
      <c r="GY41" s="414"/>
      <c r="GZ41" s="414"/>
      <c r="HA41" s="414"/>
      <c r="HB41" s="414"/>
      <c r="HC41" s="414"/>
      <c r="HD41" s="414"/>
      <c r="HE41" s="414"/>
      <c r="HF41" s="414"/>
      <c r="HG41" s="414"/>
      <c r="HH41" s="414"/>
      <c r="HI41" s="414"/>
      <c r="HJ41" s="414"/>
      <c r="HK41" s="414"/>
      <c r="HL41" s="414"/>
      <c r="HM41" s="414"/>
      <c r="HN41" s="414"/>
      <c r="HO41" s="414"/>
      <c r="HP41" s="414"/>
      <c r="HQ41" s="414"/>
      <c r="HR41" s="414"/>
      <c r="HS41" s="414"/>
      <c r="HT41" s="414"/>
      <c r="HU41" s="414"/>
      <c r="HV41" s="414"/>
      <c r="HW41" s="414"/>
      <c r="HX41" s="414"/>
      <c r="HY41" s="414"/>
      <c r="HZ41" s="414"/>
      <c r="IA41" s="414"/>
      <c r="IB41" s="414"/>
      <c r="IC41" s="414"/>
      <c r="ID41" s="414"/>
      <c r="IE41" s="414"/>
      <c r="IF41" s="414"/>
      <c r="IG41" s="414"/>
      <c r="IH41" s="414"/>
      <c r="II41" s="414"/>
      <c r="IJ41" s="414"/>
      <c r="IK41" s="414"/>
      <c r="IL41" s="414"/>
      <c r="IM41" s="414"/>
      <c r="IN41" s="414"/>
      <c r="IO41" s="414"/>
      <c r="IP41" s="414"/>
      <c r="IQ41" s="414"/>
      <c r="IR41" s="414"/>
      <c r="IS41" s="414"/>
      <c r="IT41" s="414"/>
      <c r="IU41" s="414"/>
      <c r="IV41" s="414"/>
      <c r="IW41" s="414"/>
    </row>
    <row r="42" customFormat="false" ht="12.75" hidden="false" customHeight="false" outlineLevel="0" collapsed="false">
      <c r="A42" s="415"/>
      <c r="B42" s="39" t="s">
        <v>378</v>
      </c>
      <c r="C42" s="39"/>
      <c r="D42" s="364"/>
      <c r="E42" s="61" t="n">
        <f aca="false">SUM(E26:E41)</f>
        <v>-2801.42016208755</v>
      </c>
      <c r="F42" s="61" t="n">
        <f aca="false">SUM(F26:F41)</f>
        <v>-9264.63515472857</v>
      </c>
      <c r="G42" s="61" t="n">
        <f aca="false">SUM(G26:G41)</f>
        <v>-55.4147949124967</v>
      </c>
      <c r="H42" s="61" t="n">
        <f aca="false">SUM(H26:H41)</f>
        <v>-477.659182296501</v>
      </c>
      <c r="I42" s="61" t="n">
        <f aca="false">SUM(I26:I41)</f>
        <v>-2578.76620155304</v>
      </c>
      <c r="J42" s="61" t="n">
        <f aca="false">SUM(J26:J41)</f>
        <v>-3104.55276765755</v>
      </c>
      <c r="K42" s="61" t="n">
        <f aca="false">SUM(K26:K41)</f>
        <v>-2460.32522699865</v>
      </c>
      <c r="L42" s="61" t="n">
        <f aca="false">SUM(L26:L41)</f>
        <v>-2538.5686552034</v>
      </c>
      <c r="M42" s="61" t="n">
        <f aca="false">SUM(M26:M41)</f>
        <v>-2473.87971619591</v>
      </c>
      <c r="N42" s="61" t="n">
        <f aca="false">SUM(N26:N41)</f>
        <v>-2191.67814923169</v>
      </c>
      <c r="O42" s="61" t="n">
        <f aca="false">SUM(O26:O41)</f>
        <v>-718.895584391286</v>
      </c>
      <c r="P42" s="61" t="n">
        <f aca="false">SUM(P26:P41)</f>
        <v>741.669739257443</v>
      </c>
      <c r="Q42" s="61" t="n">
        <f aca="false">SUM(Q26:Q41)</f>
        <v>1134.21475183755</v>
      </c>
      <c r="R42" s="61" t="n">
        <f aca="false">SUM(R26:R41)</f>
        <v>1056.79806418542</v>
      </c>
      <c r="S42" s="61" t="n">
        <f aca="false">SUM(S26:S41)</f>
        <v>977.89133287103</v>
      </c>
      <c r="T42" s="61" t="n">
        <f aca="false">SUM(T26:T41)</f>
        <v>2750.95531884383</v>
      </c>
      <c r="U42" s="61" t="n">
        <f aca="false">SUM(U26:U41)</f>
        <v>3494.55924338788</v>
      </c>
      <c r="V42" s="61" t="n">
        <f aca="false">SUM(V26:V41)</f>
        <v>4943.41902295288</v>
      </c>
      <c r="W42" s="61" t="n">
        <f aca="false">SUM(W26:W41)</f>
        <v>7708.38084705591</v>
      </c>
      <c r="X42" s="61" t="n">
        <f aca="false">SUM(X26:X41)</f>
        <v>7997.02319459783</v>
      </c>
      <c r="Y42" s="61" t="n">
        <f aca="false">SUM(Y26:Y41)</f>
        <v>8120.0102851164</v>
      </c>
      <c r="Z42" s="61" t="n">
        <f aca="false">SUM(Z26:Z41)</f>
        <v>98381.2423929742</v>
      </c>
      <c r="AA42" s="304" t="n">
        <f aca="false">SUM(D42:Z42)</f>
        <v>108640.368597824</v>
      </c>
      <c r="AB42" s="304" t="n">
        <f aca="false">SUM(AB26:AB41)</f>
        <v>-11762.2963012007</v>
      </c>
      <c r="AD42" s="416"/>
      <c r="AE42" s="416"/>
      <c r="AF42" s="416"/>
      <c r="AG42" s="416"/>
      <c r="AH42" s="416"/>
      <c r="AI42" s="416"/>
      <c r="AJ42" s="416"/>
      <c r="AK42" s="416"/>
      <c r="AL42" s="416"/>
      <c r="AM42" s="416"/>
      <c r="AN42" s="416"/>
      <c r="AO42" s="416"/>
      <c r="AP42" s="416"/>
      <c r="AQ42" s="416"/>
      <c r="AR42" s="416"/>
      <c r="AS42" s="416"/>
      <c r="AT42" s="416"/>
      <c r="AU42" s="416"/>
      <c r="AV42" s="416"/>
      <c r="AW42" s="416"/>
      <c r="AX42" s="416"/>
      <c r="AY42" s="416"/>
      <c r="AZ42" s="416"/>
      <c r="BA42" s="416"/>
      <c r="BB42" s="416"/>
      <c r="BC42" s="416"/>
      <c r="BD42" s="416"/>
      <c r="BE42" s="416"/>
      <c r="BF42" s="416"/>
      <c r="BG42" s="416"/>
      <c r="BH42" s="416"/>
      <c r="BI42" s="416"/>
      <c r="BJ42" s="416"/>
      <c r="BK42" s="416"/>
      <c r="BL42" s="416"/>
      <c r="BM42" s="416"/>
      <c r="BN42" s="416"/>
      <c r="BO42" s="416"/>
      <c r="BP42" s="416"/>
      <c r="BQ42" s="416"/>
      <c r="BR42" s="416"/>
      <c r="BS42" s="416"/>
      <c r="BT42" s="416"/>
      <c r="BU42" s="416"/>
      <c r="BV42" s="416"/>
      <c r="BW42" s="416"/>
      <c r="BX42" s="416"/>
      <c r="BY42" s="416"/>
      <c r="BZ42" s="416"/>
      <c r="CA42" s="416"/>
      <c r="CB42" s="416"/>
      <c r="CC42" s="416"/>
      <c r="CD42" s="416"/>
      <c r="CE42" s="416"/>
      <c r="CF42" s="416"/>
      <c r="CG42" s="416"/>
      <c r="CH42" s="416"/>
      <c r="CI42" s="416"/>
      <c r="CJ42" s="416"/>
      <c r="CK42" s="416"/>
      <c r="CL42" s="416"/>
      <c r="CM42" s="416"/>
      <c r="CN42" s="416"/>
      <c r="CO42" s="416"/>
      <c r="CP42" s="416"/>
      <c r="CQ42" s="416"/>
      <c r="CR42" s="416"/>
      <c r="CS42" s="416"/>
      <c r="CT42" s="416"/>
      <c r="CU42" s="416"/>
      <c r="CV42" s="416"/>
      <c r="CW42" s="416"/>
      <c r="CX42" s="416"/>
      <c r="CY42" s="416"/>
      <c r="CZ42" s="416"/>
      <c r="DA42" s="416"/>
      <c r="DB42" s="416"/>
      <c r="DC42" s="416"/>
      <c r="DD42" s="416"/>
      <c r="DE42" s="416"/>
      <c r="DF42" s="416"/>
      <c r="DG42" s="416"/>
      <c r="DH42" s="416"/>
      <c r="DI42" s="416"/>
      <c r="DJ42" s="416"/>
      <c r="DK42" s="416"/>
      <c r="DL42" s="416"/>
      <c r="DM42" s="416"/>
      <c r="DN42" s="416"/>
      <c r="DO42" s="416"/>
      <c r="DP42" s="416"/>
      <c r="DQ42" s="416"/>
      <c r="DR42" s="416"/>
      <c r="DS42" s="416"/>
      <c r="DT42" s="416"/>
      <c r="DU42" s="416"/>
      <c r="DV42" s="416"/>
      <c r="DW42" s="416"/>
      <c r="DX42" s="416"/>
      <c r="DY42" s="416"/>
      <c r="DZ42" s="416"/>
      <c r="EA42" s="416"/>
      <c r="EB42" s="416"/>
      <c r="EC42" s="416"/>
      <c r="ED42" s="416"/>
      <c r="EE42" s="416"/>
      <c r="EF42" s="416"/>
      <c r="EG42" s="416"/>
      <c r="EH42" s="416"/>
      <c r="EI42" s="416"/>
      <c r="EJ42" s="416"/>
      <c r="EK42" s="416"/>
      <c r="EL42" s="416"/>
      <c r="EM42" s="416"/>
      <c r="EN42" s="416"/>
      <c r="EO42" s="416"/>
      <c r="EP42" s="416"/>
      <c r="EQ42" s="416"/>
      <c r="ER42" s="416"/>
      <c r="ES42" s="416"/>
      <c r="ET42" s="416"/>
      <c r="EU42" s="416"/>
      <c r="EV42" s="416"/>
      <c r="EW42" s="416"/>
      <c r="EX42" s="416"/>
      <c r="EY42" s="416"/>
      <c r="EZ42" s="416"/>
      <c r="FA42" s="416"/>
      <c r="FB42" s="416"/>
      <c r="FC42" s="416"/>
      <c r="FD42" s="416"/>
      <c r="FE42" s="416"/>
      <c r="FF42" s="416"/>
      <c r="FG42" s="416"/>
      <c r="FH42" s="416"/>
      <c r="FI42" s="416"/>
      <c r="FJ42" s="416"/>
      <c r="FK42" s="416"/>
      <c r="FL42" s="416"/>
      <c r="FM42" s="416"/>
      <c r="FN42" s="416"/>
      <c r="FO42" s="416"/>
      <c r="FP42" s="416"/>
      <c r="FQ42" s="416"/>
      <c r="FR42" s="416"/>
      <c r="FS42" s="416"/>
      <c r="FT42" s="416"/>
      <c r="FU42" s="416"/>
      <c r="FV42" s="416"/>
      <c r="FW42" s="416"/>
      <c r="FX42" s="416"/>
      <c r="FY42" s="416"/>
      <c r="FZ42" s="416"/>
      <c r="GA42" s="416"/>
      <c r="GB42" s="416"/>
      <c r="GC42" s="416"/>
      <c r="GD42" s="416"/>
      <c r="GE42" s="416"/>
      <c r="GF42" s="416"/>
      <c r="GG42" s="416"/>
      <c r="GH42" s="416"/>
      <c r="GI42" s="416"/>
      <c r="GJ42" s="416"/>
      <c r="GK42" s="416"/>
      <c r="GL42" s="416"/>
      <c r="GM42" s="416"/>
      <c r="GN42" s="416"/>
      <c r="GO42" s="416"/>
      <c r="GP42" s="416"/>
      <c r="GQ42" s="416"/>
      <c r="GR42" s="416"/>
      <c r="GS42" s="416"/>
      <c r="GT42" s="416"/>
      <c r="GU42" s="416"/>
      <c r="GV42" s="416"/>
      <c r="GW42" s="416"/>
      <c r="GX42" s="416"/>
      <c r="GY42" s="416"/>
      <c r="GZ42" s="416"/>
      <c r="HA42" s="416"/>
      <c r="HB42" s="416"/>
      <c r="HC42" s="416"/>
      <c r="HD42" s="416"/>
      <c r="HE42" s="416"/>
      <c r="HF42" s="416"/>
      <c r="HG42" s="416"/>
      <c r="HH42" s="416"/>
      <c r="HI42" s="416"/>
      <c r="HJ42" s="416"/>
      <c r="HK42" s="416"/>
      <c r="HL42" s="416"/>
      <c r="HM42" s="416"/>
      <c r="HN42" s="416"/>
      <c r="HO42" s="416"/>
      <c r="HP42" s="416"/>
      <c r="HQ42" s="416"/>
      <c r="HR42" s="416"/>
      <c r="HS42" s="416"/>
      <c r="HT42" s="416"/>
      <c r="HU42" s="416"/>
      <c r="HV42" s="416"/>
      <c r="HW42" s="416"/>
      <c r="HX42" s="416"/>
      <c r="HY42" s="416"/>
      <c r="HZ42" s="416"/>
      <c r="IA42" s="416"/>
      <c r="IB42" s="416"/>
      <c r="IC42" s="416"/>
      <c r="ID42" s="416"/>
      <c r="IE42" s="416"/>
      <c r="IF42" s="416"/>
      <c r="IG42" s="416"/>
      <c r="IH42" s="416"/>
      <c r="II42" s="416"/>
      <c r="IJ42" s="416"/>
      <c r="IK42" s="416"/>
      <c r="IL42" s="416"/>
      <c r="IM42" s="416"/>
      <c r="IN42" s="416"/>
      <c r="IO42" s="416"/>
      <c r="IP42" s="416"/>
      <c r="IQ42" s="416"/>
      <c r="IR42" s="416"/>
      <c r="IS42" s="416"/>
      <c r="IT42" s="416"/>
      <c r="IU42" s="416"/>
      <c r="IV42" s="416"/>
      <c r="IW42" s="416"/>
    </row>
    <row r="43" customFormat="false" ht="12.75" hidden="false" customHeight="false" outlineLevel="0" collapsed="false">
      <c r="A43" s="415"/>
      <c r="B43" s="39"/>
      <c r="C43" s="39"/>
      <c r="D43" s="364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306"/>
      <c r="Z43" s="306"/>
      <c r="AA43" s="307"/>
      <c r="AB43" s="417"/>
      <c r="AD43" s="416"/>
      <c r="AE43" s="416"/>
      <c r="AF43" s="416"/>
      <c r="AG43" s="416"/>
      <c r="AH43" s="416"/>
      <c r="AI43" s="416"/>
      <c r="AJ43" s="416"/>
      <c r="AK43" s="416"/>
      <c r="AL43" s="416"/>
      <c r="AM43" s="416"/>
      <c r="AN43" s="416"/>
      <c r="AO43" s="416"/>
      <c r="AP43" s="416"/>
      <c r="AQ43" s="416"/>
      <c r="AR43" s="416"/>
      <c r="AS43" s="416"/>
      <c r="AT43" s="416"/>
      <c r="AU43" s="416"/>
      <c r="AV43" s="416"/>
      <c r="AW43" s="416"/>
      <c r="AX43" s="416"/>
      <c r="AY43" s="416"/>
      <c r="AZ43" s="416"/>
      <c r="BA43" s="416"/>
      <c r="BB43" s="416"/>
      <c r="BC43" s="416"/>
      <c r="BD43" s="416"/>
      <c r="BE43" s="416"/>
      <c r="BF43" s="416"/>
      <c r="BG43" s="416"/>
      <c r="BH43" s="416"/>
      <c r="BI43" s="416"/>
      <c r="BJ43" s="416"/>
      <c r="BK43" s="416"/>
      <c r="BL43" s="416"/>
      <c r="BM43" s="416"/>
      <c r="BN43" s="416"/>
      <c r="BO43" s="416"/>
      <c r="BP43" s="416"/>
      <c r="BQ43" s="416"/>
      <c r="BR43" s="416"/>
      <c r="BS43" s="416"/>
      <c r="BT43" s="416"/>
      <c r="BU43" s="416"/>
      <c r="BV43" s="416"/>
      <c r="BW43" s="416"/>
      <c r="BX43" s="416"/>
      <c r="BY43" s="416"/>
      <c r="BZ43" s="416"/>
      <c r="CA43" s="416"/>
      <c r="CB43" s="416"/>
      <c r="CC43" s="416"/>
      <c r="CD43" s="416"/>
      <c r="CE43" s="416"/>
      <c r="CF43" s="416"/>
      <c r="CG43" s="416"/>
      <c r="CH43" s="416"/>
      <c r="CI43" s="416"/>
      <c r="CJ43" s="416"/>
      <c r="CK43" s="416"/>
      <c r="CL43" s="416"/>
      <c r="CM43" s="416"/>
      <c r="CN43" s="416"/>
      <c r="CO43" s="416"/>
      <c r="CP43" s="416"/>
      <c r="CQ43" s="416"/>
      <c r="CR43" s="416"/>
      <c r="CS43" s="416"/>
      <c r="CT43" s="416"/>
      <c r="CU43" s="416"/>
      <c r="CV43" s="416"/>
      <c r="CW43" s="416"/>
      <c r="CX43" s="416"/>
      <c r="CY43" s="416"/>
      <c r="CZ43" s="416"/>
      <c r="DA43" s="416"/>
      <c r="DB43" s="416"/>
      <c r="DC43" s="416"/>
      <c r="DD43" s="416"/>
      <c r="DE43" s="416"/>
      <c r="DF43" s="416"/>
      <c r="DG43" s="416"/>
      <c r="DH43" s="416"/>
      <c r="DI43" s="416"/>
      <c r="DJ43" s="416"/>
      <c r="DK43" s="416"/>
      <c r="DL43" s="416"/>
      <c r="DM43" s="416"/>
      <c r="DN43" s="416"/>
      <c r="DO43" s="416"/>
      <c r="DP43" s="416"/>
      <c r="DQ43" s="416"/>
      <c r="DR43" s="416"/>
      <c r="DS43" s="416"/>
      <c r="DT43" s="416"/>
      <c r="DU43" s="416"/>
      <c r="DV43" s="416"/>
      <c r="DW43" s="416"/>
      <c r="DX43" s="416"/>
      <c r="DY43" s="416"/>
      <c r="DZ43" s="416"/>
      <c r="EA43" s="416"/>
      <c r="EB43" s="416"/>
      <c r="EC43" s="416"/>
      <c r="ED43" s="416"/>
      <c r="EE43" s="416"/>
      <c r="EF43" s="416"/>
      <c r="EG43" s="416"/>
      <c r="EH43" s="416"/>
      <c r="EI43" s="416"/>
      <c r="EJ43" s="416"/>
      <c r="EK43" s="416"/>
      <c r="EL43" s="416"/>
      <c r="EM43" s="416"/>
      <c r="EN43" s="416"/>
      <c r="EO43" s="416"/>
      <c r="EP43" s="416"/>
      <c r="EQ43" s="416"/>
      <c r="ER43" s="416"/>
      <c r="ES43" s="416"/>
      <c r="ET43" s="416"/>
      <c r="EU43" s="416"/>
      <c r="EV43" s="416"/>
      <c r="EW43" s="416"/>
      <c r="EX43" s="416"/>
      <c r="EY43" s="416"/>
      <c r="EZ43" s="416"/>
      <c r="FA43" s="416"/>
      <c r="FB43" s="416"/>
      <c r="FC43" s="416"/>
      <c r="FD43" s="416"/>
      <c r="FE43" s="416"/>
      <c r="FF43" s="416"/>
      <c r="FG43" s="416"/>
      <c r="FH43" s="416"/>
      <c r="FI43" s="416"/>
      <c r="FJ43" s="416"/>
      <c r="FK43" s="416"/>
      <c r="FL43" s="416"/>
      <c r="FM43" s="416"/>
      <c r="FN43" s="416"/>
      <c r="FO43" s="416"/>
      <c r="FP43" s="416"/>
      <c r="FQ43" s="416"/>
      <c r="FR43" s="416"/>
      <c r="FS43" s="416"/>
      <c r="FT43" s="416"/>
      <c r="FU43" s="416"/>
      <c r="FV43" s="416"/>
      <c r="FW43" s="416"/>
      <c r="FX43" s="416"/>
      <c r="FY43" s="416"/>
      <c r="FZ43" s="416"/>
      <c r="GA43" s="416"/>
      <c r="GB43" s="416"/>
      <c r="GC43" s="416"/>
      <c r="GD43" s="416"/>
      <c r="GE43" s="416"/>
      <c r="GF43" s="416"/>
      <c r="GG43" s="416"/>
      <c r="GH43" s="416"/>
      <c r="GI43" s="416"/>
      <c r="GJ43" s="416"/>
      <c r="GK43" s="416"/>
      <c r="GL43" s="416"/>
      <c r="GM43" s="416"/>
      <c r="GN43" s="416"/>
      <c r="GO43" s="416"/>
      <c r="GP43" s="416"/>
      <c r="GQ43" s="416"/>
      <c r="GR43" s="416"/>
      <c r="GS43" s="416"/>
      <c r="GT43" s="416"/>
      <c r="GU43" s="416"/>
      <c r="GV43" s="416"/>
      <c r="GW43" s="416"/>
      <c r="GX43" s="416"/>
      <c r="GY43" s="416"/>
      <c r="GZ43" s="416"/>
      <c r="HA43" s="416"/>
      <c r="HB43" s="416"/>
      <c r="HC43" s="416"/>
      <c r="HD43" s="416"/>
      <c r="HE43" s="416"/>
      <c r="HF43" s="416"/>
      <c r="HG43" s="416"/>
      <c r="HH43" s="416"/>
      <c r="HI43" s="416"/>
      <c r="HJ43" s="416"/>
      <c r="HK43" s="416"/>
      <c r="HL43" s="416"/>
      <c r="HM43" s="416"/>
      <c r="HN43" s="416"/>
      <c r="HO43" s="416"/>
      <c r="HP43" s="416"/>
      <c r="HQ43" s="416"/>
      <c r="HR43" s="416"/>
      <c r="HS43" s="416"/>
      <c r="HT43" s="416"/>
      <c r="HU43" s="416"/>
      <c r="HV43" s="416"/>
      <c r="HW43" s="416"/>
      <c r="HX43" s="416"/>
      <c r="HY43" s="416"/>
      <c r="HZ43" s="416"/>
      <c r="IA43" s="416"/>
      <c r="IB43" s="416"/>
      <c r="IC43" s="416"/>
      <c r="ID43" s="416"/>
      <c r="IE43" s="416"/>
      <c r="IF43" s="416"/>
      <c r="IG43" s="416"/>
      <c r="IH43" s="416"/>
      <c r="II43" s="416"/>
      <c r="IJ43" s="416"/>
      <c r="IK43" s="416"/>
      <c r="IL43" s="416"/>
      <c r="IM43" s="416"/>
      <c r="IN43" s="416"/>
      <c r="IO43" s="416"/>
      <c r="IP43" s="416"/>
      <c r="IQ43" s="416"/>
      <c r="IR43" s="416"/>
      <c r="IS43" s="416"/>
      <c r="IT43" s="416"/>
      <c r="IU43" s="416"/>
      <c r="IV43" s="416"/>
      <c r="IW43" s="416"/>
    </row>
    <row r="44" customFormat="false" ht="12.75" hidden="false" customHeight="false" outlineLevel="0" collapsed="false">
      <c r="A44" s="138"/>
      <c r="B44" s="39" t="s">
        <v>379</v>
      </c>
      <c r="C44" s="39"/>
      <c r="D44" s="315"/>
      <c r="E44" s="61" t="n">
        <f aca="false">$E42</f>
        <v>-2801.42016208755</v>
      </c>
      <c r="F44" s="61" t="n">
        <f aca="false">$E42+NPV(Disc,$F42:F42)</f>
        <v>-10586.8278551368</v>
      </c>
      <c r="G44" s="61" t="n">
        <f aca="false">$E42+NPV(Disc,$F42:G42)</f>
        <v>-10625.9598337488</v>
      </c>
      <c r="H44" s="61" t="n">
        <f aca="false">$E42+NPV(Disc,$F42:H42)</f>
        <v>-10909.4103463096</v>
      </c>
      <c r="I44" s="61" t="n">
        <f aca="false">$E42+NPV(Disc,$F42:I42)</f>
        <v>-12195.360468211</v>
      </c>
      <c r="J44" s="61" t="n">
        <f aca="false">$E42+NPV(Disc,$F42:J42)</f>
        <v>-13496.32135252</v>
      </c>
      <c r="K44" s="61" t="n">
        <f aca="false">$E42+NPV(Disc,$F42:K42)</f>
        <v>-14362.7060068557</v>
      </c>
      <c r="L44" s="61" t="n">
        <f aca="false">$E42+NPV(Disc,$F42:L42)</f>
        <v>-15113.9139710024</v>
      </c>
      <c r="M44" s="61" t="n">
        <f aca="false">$E42+NPV(Disc,$F42:M42)</f>
        <v>-15729.0949354282</v>
      </c>
      <c r="N44" s="61" t="n">
        <f aca="false">$E42+NPV(Disc,$F42:N42)</f>
        <v>-16187.0829631588</v>
      </c>
      <c r="O44" s="61" t="n">
        <f aca="false">$E42+NPV(Disc,$F42:O42)</f>
        <v>-16313.3227353546</v>
      </c>
      <c r="P44" s="61" t="n">
        <f aca="false">$E42+NPV(Disc,$F42:P42)</f>
        <v>-16203.8782245267</v>
      </c>
      <c r="Q44" s="61" t="n">
        <f aca="false">$E42+NPV(Disc,$F42:Q42)</f>
        <v>-16063.2308094447</v>
      </c>
      <c r="R44" s="61" t="n">
        <f aca="false">$E42+NPV(Disc,$F42:R42)</f>
        <v>-15953.1069278051</v>
      </c>
      <c r="S44" s="61" t="n">
        <f aca="false">$E42+NPV(Disc,$F42:S42)</f>
        <v>-15867.4755094599</v>
      </c>
      <c r="T44" s="61" t="n">
        <f aca="false">$E42+NPV(Disc,$F42:T42)</f>
        <v>-15665.0435328467</v>
      </c>
      <c r="U44" s="61" t="n">
        <f aca="false">$E42+NPV(Disc,$F42:U42)</f>
        <v>-15448.9503704432</v>
      </c>
      <c r="V44" s="61" t="n">
        <f aca="false">$E42+NPV(Disc,$F42:V42)</f>
        <v>-15192.0710871851</v>
      </c>
      <c r="W44" s="61" t="n">
        <f aca="false">$E42+NPV(Disc,$F42:W42)</f>
        <v>-14855.4681831031</v>
      </c>
      <c r="X44" s="61" t="n">
        <f aca="false">$E42+NPV(Disc,$F42:X42)</f>
        <v>-14562.0168483749</v>
      </c>
      <c r="Y44" s="61" t="n">
        <f aca="false">$E42+NPV(Disc,$F42:Y42)</f>
        <v>-14311.6266342914</v>
      </c>
      <c r="Z44" s="61" t="n">
        <f aca="false">$E42+NPV(Disc,$F42:Z42)</f>
        <v>-11762.2963012007</v>
      </c>
      <c r="AA44" s="418"/>
      <c r="AB44" s="298"/>
    </row>
    <row r="45" customFormat="false" ht="12.75" hidden="false" customHeight="false" outlineLevel="0" collapsed="false">
      <c r="A45" s="138"/>
      <c r="B45" s="39" t="s">
        <v>380</v>
      </c>
      <c r="C45" s="39"/>
      <c r="D45" s="107"/>
      <c r="E45" s="107" t="e">
        <f aca="false">IRR($E42:E42,-0.9)</f>
        <v>#N/A</v>
      </c>
      <c r="F45" s="107" t="e">
        <f aca="false">IRR($E42:F42,-0.9)</f>
        <v>#N/A</v>
      </c>
      <c r="G45" s="107" t="e">
        <f aca="false">IRR($E42:G42,-0.9)</f>
        <v>#N/A</v>
      </c>
      <c r="H45" s="107" t="e">
        <f aca="false">IRR($E42:H42,-0.9)</f>
        <v>#N/A</v>
      </c>
      <c r="I45" s="107" t="e">
        <f aca="false">IRR($E42:I42,-0.9)</f>
        <v>#N/A</v>
      </c>
      <c r="J45" s="107" t="e">
        <f aca="false">IRR($E42:J42,-0.9)</f>
        <v>#N/A</v>
      </c>
      <c r="K45" s="107" t="e">
        <f aca="false">IRR($E42:K42,-0.9)</f>
        <v>#N/A</v>
      </c>
      <c r="L45" s="107" t="e">
        <f aca="false">IRR($E42:L42,-0.9)</f>
        <v>#N/A</v>
      </c>
      <c r="M45" s="107" t="e">
        <f aca="false">IRR($E42:M42,-0.9)</f>
        <v>#N/A</v>
      </c>
      <c r="N45" s="107" t="e">
        <f aca="false">IRR($E42:N42,-0.9)</f>
        <v>#N/A</v>
      </c>
      <c r="O45" s="107" t="e">
        <f aca="false">IRR($E42:O42,-0.9)</f>
        <v>#N/A</v>
      </c>
      <c r="P45" s="107" t="e">
        <f aca="false">IRR($E42:P42,-0.9)</f>
        <v>#N/A</v>
      </c>
      <c r="Q45" s="107" t="e">
        <f aca="false">IRR($E42:Q42,-0.9)</f>
        <v>#N/A</v>
      </c>
      <c r="R45" s="107" t="e">
        <f aca="false">IRR($E42:R42,-0.9)</f>
        <v>#N/A</v>
      </c>
      <c r="S45" s="107" t="e">
        <f aca="false">IRR($E42:S42,-0.9)</f>
        <v>#N/A</v>
      </c>
      <c r="T45" s="107" t="e">
        <f aca="false">IRR($E42:T42,-0.9)</f>
        <v>#N/A</v>
      </c>
      <c r="U45" s="107" t="e">
        <f aca="false">IRR($E42:U42,-0.9)</f>
        <v>#N/A</v>
      </c>
      <c r="V45" s="107" t="e">
        <f aca="false">IRR($E42:V42,-0.9)</f>
        <v>#N/A</v>
      </c>
      <c r="W45" s="107" t="e">
        <f aca="false">IRR($E42:W42,-0.9)</f>
        <v>#N/A</v>
      </c>
      <c r="X45" s="107" t="e">
        <f aca="false">IRR($E42:X42,-0.9)</f>
        <v>#N/A</v>
      </c>
      <c r="Y45" s="107" t="e">
        <f aca="false">IRR($E42:Y42,-0.9)</f>
        <v>#N/A</v>
      </c>
      <c r="Z45" s="107" t="e">
        <f aca="false">IRR($E42:Z42,-0.9)</f>
        <v>#N/A</v>
      </c>
      <c r="AA45" s="298"/>
      <c r="AB45" s="371" t="n">
        <f aca="false">IRR($E42:Z42)</f>
        <v>0.101328020104014</v>
      </c>
    </row>
    <row r="46" customFormat="false" ht="12.75" hidden="false" customHeight="false" outlineLevel="0" collapsed="false">
      <c r="A46" s="138"/>
      <c r="B46" s="39"/>
      <c r="C46" s="39"/>
      <c r="D46" s="372"/>
      <c r="E46" s="364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298"/>
      <c r="AB46" s="298"/>
    </row>
    <row r="47" customFormat="false" ht="12.75" hidden="false" customHeight="false" outlineLevel="0" collapsed="false">
      <c r="A47" s="138"/>
      <c r="B47" s="374" t="str">
        <f aca="false">CONCATENATE("Enron NPV @ ",TEXT(Disc,"0.0%"))</f>
        <v>Enron NPV @ 19.0%</v>
      </c>
      <c r="C47" s="375" t="n">
        <f aca="false">AB42</f>
        <v>-11762.2963012007</v>
      </c>
      <c r="D47" s="39"/>
      <c r="E47" s="372"/>
      <c r="F47" s="419"/>
      <c r="G47" s="419"/>
      <c r="H47" s="419"/>
      <c r="I47" s="419"/>
      <c r="J47" s="419"/>
      <c r="K47" s="419"/>
      <c r="L47" s="419"/>
      <c r="M47" s="419"/>
      <c r="N47" s="419"/>
      <c r="O47" s="419"/>
      <c r="P47" s="419"/>
      <c r="Q47" s="419"/>
      <c r="R47" s="419"/>
      <c r="S47" s="419"/>
      <c r="T47" s="419"/>
      <c r="U47" s="419"/>
      <c r="V47" s="419"/>
      <c r="W47" s="419"/>
      <c r="X47" s="419"/>
      <c r="Y47" s="419"/>
      <c r="Z47" s="419"/>
      <c r="AA47" s="298"/>
      <c r="AB47" s="298"/>
    </row>
    <row r="48" customFormat="false" ht="12.75" hidden="false" customHeight="false" outlineLevel="0" collapsed="false">
      <c r="A48" s="138"/>
      <c r="B48" s="376" t="s">
        <v>394</v>
      </c>
      <c r="C48" s="377" t="n">
        <f aca="false">AB45</f>
        <v>0.101328020104014</v>
      </c>
      <c r="D48" s="39"/>
      <c r="E48" s="372"/>
      <c r="F48" s="419"/>
      <c r="G48" s="419"/>
      <c r="H48" s="419"/>
      <c r="I48" s="419"/>
      <c r="J48" s="419"/>
      <c r="K48" s="419"/>
      <c r="L48" s="419"/>
      <c r="M48" s="419"/>
      <c r="N48" s="419"/>
      <c r="O48" s="419"/>
      <c r="P48" s="419"/>
      <c r="Q48" s="419"/>
      <c r="R48" s="419"/>
      <c r="S48" s="419"/>
      <c r="T48" s="419"/>
      <c r="U48" s="419"/>
      <c r="V48" s="419"/>
      <c r="W48" s="419"/>
      <c r="X48" s="419"/>
      <c r="Y48" s="419"/>
      <c r="Z48" s="419"/>
      <c r="AA48" s="298"/>
      <c r="AB48" s="298"/>
    </row>
    <row r="49" customFormat="false" ht="12.75" hidden="false" customHeight="false" outlineLevel="0" collapsed="false">
      <c r="A49" s="420"/>
      <c r="B49" s="421" t="s">
        <v>395</v>
      </c>
      <c r="C49" s="422" t="n">
        <f aca="false">MAX(E49:Z49)</f>
        <v>0</v>
      </c>
      <c r="D49" s="423"/>
      <c r="E49" s="423" t="n">
        <f aca="false">IF(AND(D44&lt;0,E44&gt;0),E$6,0)</f>
        <v>0</v>
      </c>
      <c r="F49" s="423" t="n">
        <f aca="false">IF(AND(E44&lt;0,F44&gt;0),F$6,0)</f>
        <v>0</v>
      </c>
      <c r="G49" s="423" t="n">
        <f aca="false">IF(AND(F44&lt;0,G44&gt;0),G$6,0)</f>
        <v>0</v>
      </c>
      <c r="H49" s="423" t="n">
        <f aca="false">IF(AND(G44&lt;0,H44&gt;0),H$6,0)</f>
        <v>0</v>
      </c>
      <c r="I49" s="423" t="n">
        <f aca="false">IF(AND(H44&lt;0,I44&gt;0),I$6,0)</f>
        <v>0</v>
      </c>
      <c r="J49" s="423" t="n">
        <f aca="false">IF(AND(I44&lt;0,J44&gt;0),J$6,0)</f>
        <v>0</v>
      </c>
      <c r="K49" s="423" t="n">
        <f aca="false">IF(AND(J44&lt;0,K44&gt;0),K$6,0)</f>
        <v>0</v>
      </c>
      <c r="L49" s="423" t="n">
        <f aca="false">IF(AND(K44&lt;0,L44&gt;0),L$6,0)</f>
        <v>0</v>
      </c>
      <c r="M49" s="423" t="n">
        <f aca="false">IF(AND(L44&lt;0,M44&gt;0),M$6,0)</f>
        <v>0</v>
      </c>
      <c r="N49" s="423" t="n">
        <f aca="false">IF(AND(M44&lt;0,N44&gt;0),N$6,0)</f>
        <v>0</v>
      </c>
      <c r="O49" s="423" t="n">
        <f aca="false">IF(AND(N44&lt;0,O44&gt;0),O$6,0)</f>
        <v>0</v>
      </c>
      <c r="P49" s="423" t="n">
        <f aca="false">IF(AND(O44&lt;0,P44&gt;0),P$6,0)</f>
        <v>0</v>
      </c>
      <c r="Q49" s="423" t="n">
        <f aca="false">IF(AND(P44&lt;0,Q44&gt;0),Q$6,0)</f>
        <v>0</v>
      </c>
      <c r="R49" s="423" t="n">
        <f aca="false">IF(AND(Q44&lt;0,R44&gt;0),R$6,0)</f>
        <v>0</v>
      </c>
      <c r="S49" s="423" t="n">
        <f aca="false">IF(AND(R44&lt;0,S44&gt;0),S$6,0)</f>
        <v>0</v>
      </c>
      <c r="T49" s="423" t="n">
        <f aca="false">IF(AND(S44&lt;0,T44&gt;0),T$6,0)</f>
        <v>0</v>
      </c>
      <c r="U49" s="423" t="n">
        <f aca="false">IF(AND(T44&lt;0,U44&gt;0),U$6,0)</f>
        <v>0</v>
      </c>
      <c r="V49" s="423" t="n">
        <f aca="false">IF(AND(U44&lt;0,V44&gt;0),V$6,0)</f>
        <v>0</v>
      </c>
      <c r="W49" s="423" t="n">
        <f aca="false">IF(AND(V44&lt;0,W44&gt;0),W$6,0)</f>
        <v>0</v>
      </c>
      <c r="X49" s="423" t="n">
        <f aca="false">IF(AND(W44&lt;0,X44&gt;0),X$6,0)</f>
        <v>0</v>
      </c>
      <c r="Y49" s="423" t="n">
        <f aca="false">IF(AND(X44&lt;0,Y44&gt;0),Y$6,0)</f>
        <v>0</v>
      </c>
      <c r="Z49" s="423" t="n">
        <f aca="false">IF(AND(Y44&lt;0,Z44&gt;0),Z$6,0)</f>
        <v>0</v>
      </c>
      <c r="AA49" s="424"/>
      <c r="AB49" s="424"/>
    </row>
    <row r="50" customFormat="false" ht="12.75" hidden="false" customHeight="false" outlineLevel="0" collapsed="false">
      <c r="A50" s="138"/>
      <c r="B50" s="38"/>
      <c r="C50" s="38"/>
      <c r="D50" s="425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298"/>
      <c r="AB50" s="298"/>
    </row>
    <row r="51" customFormat="false" ht="12.75" hidden="false" customHeight="false" outlineLevel="0" collapsed="false">
      <c r="A51" s="415"/>
      <c r="B51" s="39" t="s">
        <v>396</v>
      </c>
      <c r="C51" s="39"/>
      <c r="D51" s="364"/>
      <c r="E51" s="61" t="n">
        <f aca="false">E42</f>
        <v>-2801.42016208755</v>
      </c>
      <c r="F51" s="61" t="n">
        <f aca="false">F42</f>
        <v>-9264.63515472857</v>
      </c>
      <c r="G51" s="61" t="n">
        <f aca="false">G42</f>
        <v>-55.4147949124967</v>
      </c>
      <c r="H51" s="61" t="n">
        <f aca="false">H42</f>
        <v>-477.659182296501</v>
      </c>
      <c r="I51" s="61" t="n">
        <f aca="false">I42</f>
        <v>-2578.76620155304</v>
      </c>
      <c r="J51" s="61" t="n">
        <f aca="false">J42</f>
        <v>-3104.55276765755</v>
      </c>
      <c r="K51" s="61" t="n">
        <f aca="false">K42</f>
        <v>-2460.32522699865</v>
      </c>
      <c r="L51" s="61" t="n">
        <f aca="false">L42</f>
        <v>-2538.5686552034</v>
      </c>
      <c r="M51" s="61" t="n">
        <f aca="false">M42</f>
        <v>-2473.87971619591</v>
      </c>
      <c r="N51" s="61" t="n">
        <f aca="false">N42</f>
        <v>-2191.67814923169</v>
      </c>
      <c r="O51" s="61" t="n">
        <f aca="false">O42</f>
        <v>-718.895584391286</v>
      </c>
      <c r="P51" s="61" t="n">
        <f aca="false">P42</f>
        <v>741.669739257443</v>
      </c>
      <c r="Q51" s="61" t="n">
        <f aca="false">Q42</f>
        <v>1134.21475183755</v>
      </c>
      <c r="R51" s="61" t="n">
        <f aca="false">R42</f>
        <v>1056.79806418542</v>
      </c>
      <c r="S51" s="61" t="n">
        <f aca="false">S42</f>
        <v>977.89133287103</v>
      </c>
      <c r="T51" s="61" t="n">
        <f aca="false">T42</f>
        <v>2750.95531884383</v>
      </c>
      <c r="U51" s="61" t="n">
        <f aca="false">U42</f>
        <v>3494.55924338788</v>
      </c>
      <c r="V51" s="61" t="n">
        <f aca="false">V42</f>
        <v>4943.41902295288</v>
      </c>
      <c r="W51" s="61" t="n">
        <f aca="false">W42</f>
        <v>7708.38084705591</v>
      </c>
      <c r="X51" s="61" t="n">
        <f aca="false">X42</f>
        <v>7997.02319459783</v>
      </c>
      <c r="Y51" s="61" t="n">
        <f aca="false">Y42</f>
        <v>8120.0102851164</v>
      </c>
      <c r="Z51" s="61" t="n">
        <f aca="false">Z42</f>
        <v>98381.2423929742</v>
      </c>
      <c r="AA51" s="304" t="n">
        <f aca="false">SUM(D51:Z51)</f>
        <v>108640.368597824</v>
      </c>
      <c r="AB51" s="304" t="n">
        <f aca="false">$E51+NPV(Disc,$F51:Z51)</f>
        <v>-11762.2963012007</v>
      </c>
      <c r="AD51" s="416"/>
      <c r="AE51" s="416"/>
      <c r="AF51" s="416"/>
      <c r="AG51" s="416"/>
      <c r="AH51" s="416"/>
      <c r="AI51" s="416"/>
      <c r="AJ51" s="416"/>
      <c r="AK51" s="416"/>
      <c r="AL51" s="416"/>
      <c r="AM51" s="416"/>
      <c r="AN51" s="416"/>
      <c r="AO51" s="416"/>
      <c r="AP51" s="416"/>
      <c r="AQ51" s="416"/>
      <c r="AR51" s="416"/>
      <c r="AS51" s="416"/>
      <c r="AT51" s="416"/>
      <c r="AU51" s="416"/>
      <c r="AV51" s="416"/>
      <c r="AW51" s="416"/>
      <c r="AX51" s="416"/>
      <c r="AY51" s="416"/>
      <c r="AZ51" s="416"/>
      <c r="BA51" s="416"/>
      <c r="BB51" s="416"/>
      <c r="BC51" s="416"/>
      <c r="BD51" s="416"/>
      <c r="BE51" s="416"/>
      <c r="BF51" s="416"/>
      <c r="BG51" s="416"/>
      <c r="BH51" s="416"/>
      <c r="BI51" s="416"/>
      <c r="BJ51" s="416"/>
      <c r="BK51" s="416"/>
      <c r="BL51" s="416"/>
      <c r="BM51" s="416"/>
      <c r="BN51" s="416"/>
      <c r="BO51" s="416"/>
      <c r="BP51" s="416"/>
      <c r="BQ51" s="416"/>
      <c r="BR51" s="416"/>
      <c r="BS51" s="416"/>
      <c r="BT51" s="416"/>
      <c r="BU51" s="416"/>
      <c r="BV51" s="416"/>
      <c r="BW51" s="416"/>
      <c r="BX51" s="416"/>
      <c r="BY51" s="416"/>
      <c r="BZ51" s="416"/>
      <c r="CA51" s="416"/>
      <c r="CB51" s="416"/>
      <c r="CC51" s="416"/>
      <c r="CD51" s="416"/>
      <c r="CE51" s="416"/>
      <c r="CF51" s="416"/>
      <c r="CG51" s="416"/>
      <c r="CH51" s="416"/>
      <c r="CI51" s="416"/>
      <c r="CJ51" s="416"/>
      <c r="CK51" s="416"/>
      <c r="CL51" s="416"/>
      <c r="CM51" s="416"/>
      <c r="CN51" s="416"/>
      <c r="CO51" s="416"/>
      <c r="CP51" s="416"/>
      <c r="CQ51" s="416"/>
      <c r="CR51" s="416"/>
      <c r="CS51" s="416"/>
      <c r="CT51" s="416"/>
      <c r="CU51" s="416"/>
      <c r="CV51" s="416"/>
      <c r="CW51" s="416"/>
      <c r="CX51" s="416"/>
      <c r="CY51" s="416"/>
      <c r="CZ51" s="416"/>
      <c r="DA51" s="416"/>
      <c r="DB51" s="416"/>
      <c r="DC51" s="416"/>
      <c r="DD51" s="416"/>
      <c r="DE51" s="416"/>
      <c r="DF51" s="416"/>
      <c r="DG51" s="416"/>
      <c r="DH51" s="416"/>
      <c r="DI51" s="416"/>
      <c r="DJ51" s="416"/>
      <c r="DK51" s="416"/>
      <c r="DL51" s="416"/>
      <c r="DM51" s="416"/>
      <c r="DN51" s="416"/>
      <c r="DO51" s="416"/>
      <c r="DP51" s="416"/>
      <c r="DQ51" s="416"/>
      <c r="DR51" s="416"/>
      <c r="DS51" s="416"/>
      <c r="DT51" s="416"/>
      <c r="DU51" s="416"/>
      <c r="DV51" s="416"/>
      <c r="DW51" s="416"/>
      <c r="DX51" s="416"/>
      <c r="DY51" s="416"/>
      <c r="DZ51" s="416"/>
      <c r="EA51" s="416"/>
      <c r="EB51" s="416"/>
      <c r="EC51" s="416"/>
      <c r="ED51" s="416"/>
      <c r="EE51" s="416"/>
      <c r="EF51" s="416"/>
      <c r="EG51" s="416"/>
      <c r="EH51" s="416"/>
      <c r="EI51" s="416"/>
      <c r="EJ51" s="416"/>
      <c r="EK51" s="416"/>
      <c r="EL51" s="416"/>
      <c r="EM51" s="416"/>
      <c r="EN51" s="416"/>
      <c r="EO51" s="416"/>
      <c r="EP51" s="416"/>
      <c r="EQ51" s="416"/>
      <c r="ER51" s="416"/>
      <c r="ES51" s="416"/>
      <c r="ET51" s="416"/>
      <c r="EU51" s="416"/>
      <c r="EV51" s="416"/>
      <c r="EW51" s="416"/>
      <c r="EX51" s="416"/>
      <c r="EY51" s="416"/>
      <c r="EZ51" s="416"/>
      <c r="FA51" s="416"/>
      <c r="FB51" s="416"/>
      <c r="FC51" s="416"/>
      <c r="FD51" s="416"/>
      <c r="FE51" s="416"/>
      <c r="FF51" s="416"/>
      <c r="FG51" s="416"/>
      <c r="FH51" s="416"/>
      <c r="FI51" s="416"/>
      <c r="FJ51" s="416"/>
      <c r="FK51" s="416"/>
      <c r="FL51" s="416"/>
      <c r="FM51" s="416"/>
      <c r="FN51" s="416"/>
      <c r="FO51" s="416"/>
      <c r="FP51" s="416"/>
      <c r="FQ51" s="416"/>
      <c r="FR51" s="416"/>
      <c r="FS51" s="416"/>
      <c r="FT51" s="416"/>
      <c r="FU51" s="416"/>
      <c r="FV51" s="416"/>
      <c r="FW51" s="416"/>
      <c r="FX51" s="416"/>
      <c r="FY51" s="416"/>
      <c r="FZ51" s="416"/>
      <c r="GA51" s="416"/>
      <c r="GB51" s="416"/>
      <c r="GC51" s="416"/>
      <c r="GD51" s="416"/>
      <c r="GE51" s="416"/>
      <c r="GF51" s="416"/>
      <c r="GG51" s="416"/>
      <c r="GH51" s="416"/>
      <c r="GI51" s="416"/>
      <c r="GJ51" s="416"/>
      <c r="GK51" s="416"/>
      <c r="GL51" s="416"/>
      <c r="GM51" s="416"/>
      <c r="GN51" s="416"/>
      <c r="GO51" s="416"/>
      <c r="GP51" s="416"/>
      <c r="GQ51" s="416"/>
      <c r="GR51" s="416"/>
      <c r="GS51" s="416"/>
      <c r="GT51" s="416"/>
      <c r="GU51" s="416"/>
      <c r="GV51" s="416"/>
      <c r="GW51" s="416"/>
      <c r="GX51" s="416"/>
      <c r="GY51" s="416"/>
      <c r="GZ51" s="416"/>
      <c r="HA51" s="416"/>
      <c r="HB51" s="416"/>
      <c r="HC51" s="416"/>
      <c r="HD51" s="416"/>
      <c r="HE51" s="416"/>
      <c r="HF51" s="416"/>
      <c r="HG51" s="416"/>
      <c r="HH51" s="416"/>
      <c r="HI51" s="416"/>
      <c r="HJ51" s="416"/>
      <c r="HK51" s="416"/>
      <c r="HL51" s="416"/>
      <c r="HM51" s="416"/>
      <c r="HN51" s="416"/>
      <c r="HO51" s="416"/>
      <c r="HP51" s="416"/>
      <c r="HQ51" s="416"/>
      <c r="HR51" s="416"/>
      <c r="HS51" s="416"/>
      <c r="HT51" s="416"/>
      <c r="HU51" s="416"/>
      <c r="HV51" s="416"/>
      <c r="HW51" s="416"/>
      <c r="HX51" s="416"/>
      <c r="HY51" s="416"/>
      <c r="HZ51" s="416"/>
      <c r="IA51" s="416"/>
      <c r="IB51" s="416"/>
      <c r="IC51" s="416"/>
      <c r="ID51" s="416"/>
      <c r="IE51" s="416"/>
      <c r="IF51" s="416"/>
      <c r="IG51" s="416"/>
      <c r="IH51" s="416"/>
      <c r="II51" s="416"/>
      <c r="IJ51" s="416"/>
      <c r="IK51" s="416"/>
      <c r="IL51" s="416"/>
      <c r="IM51" s="416"/>
      <c r="IN51" s="416"/>
      <c r="IO51" s="416"/>
      <c r="IP51" s="416"/>
      <c r="IQ51" s="416"/>
      <c r="IR51" s="416"/>
      <c r="IS51" s="416"/>
      <c r="IT51" s="416"/>
      <c r="IU51" s="416"/>
      <c r="IV51" s="416"/>
      <c r="IW51" s="416"/>
    </row>
    <row r="52" customFormat="false" ht="12.75" hidden="false" customHeight="false" outlineLevel="0" collapsed="false">
      <c r="A52" s="427" t="n">
        <f aca="false">A$26</f>
        <v>0.5</v>
      </c>
      <c r="B52" s="428" t="s">
        <v>397</v>
      </c>
      <c r="C52" s="429"/>
      <c r="D52" s="430"/>
      <c r="E52" s="431" t="n">
        <f aca="false">-HLOOKUP(DATE(E$7,12,31),Idc_Table,IDC!$AP$75)*$A52-SUM($D52:D52)</f>
        <v>-0</v>
      </c>
      <c r="F52" s="431" t="n">
        <f aca="false">-HLOOKUP(DATE(F$7,12,31),Idc_Table,IDC!$AP$75)*$A52-SUM($D52:E52)</f>
        <v>-13609.1090523661</v>
      </c>
      <c r="G52" s="431" t="n">
        <f aca="false">-HLOOKUP(DATE(G$7,12,31),Idc_Table,IDC!$AP$75)*$A52-SUM($D52:F52)</f>
        <v>-23083.0827028475</v>
      </c>
      <c r="H52" s="431" t="n">
        <f aca="false">-HLOOKUP(DATE(H$7,12,31),Idc_Table,IDC!$AP$75)*$A52-SUM($D52:G52)</f>
        <v>0</v>
      </c>
      <c r="I52" s="431" t="n">
        <f aca="false">-HLOOKUP(DATE(I$7,12,31),Idc_Table,IDC!$AP$75)*$A52-SUM($D52:H52)</f>
        <v>0</v>
      </c>
      <c r="J52" s="431" t="n">
        <f aca="false">-HLOOKUP(DATE(J$7,12,31),Idc_Table,IDC!$AP$75)*$A52-SUM($D52:I52)</f>
        <v>0</v>
      </c>
      <c r="K52" s="431" t="n">
        <f aca="false">-HLOOKUP(DATE(K$7,12,31),Idc_Table,IDC!$AP$75)*$A52-SUM($D52:J52)</f>
        <v>0</v>
      </c>
      <c r="L52" s="431" t="n">
        <f aca="false">-HLOOKUP(DATE(L$7,12,31),Idc_Table,IDC!$AP$75)*$A52-SUM($D52:K52)</f>
        <v>0</v>
      </c>
      <c r="M52" s="431" t="n">
        <f aca="false">-HLOOKUP(DATE(M$7,12,31),Idc_Table,IDC!$AP$75)*$A52-SUM($D52:L52)</f>
        <v>0</v>
      </c>
      <c r="N52" s="431" t="n">
        <f aca="false">-HLOOKUP(DATE(N$7,12,31),Idc_Table,IDC!$AP$75)*$A52-SUM($D52:M52)</f>
        <v>0</v>
      </c>
      <c r="O52" s="431" t="n">
        <f aca="false">-HLOOKUP(DATE(O$7,12,31),Idc_Table,IDC!$AP$75)*$A52-SUM($D52:N52)</f>
        <v>0</v>
      </c>
      <c r="P52" s="431" t="n">
        <f aca="false">-HLOOKUP(DATE(P$7,12,31),Idc_Table,IDC!$AP$75)*$A52-SUM($D52:O52)</f>
        <v>0</v>
      </c>
      <c r="Q52" s="431" t="n">
        <f aca="false">-HLOOKUP(DATE(Q$7,12,31),Idc_Table,IDC!$AP$75)*$A52-SUM($D52:P52)</f>
        <v>0</v>
      </c>
      <c r="R52" s="431" t="n">
        <f aca="false">-HLOOKUP(DATE(R$7,12,31),Idc_Table,IDC!$AP$75)*$A52-SUM($D52:Q52)</f>
        <v>0</v>
      </c>
      <c r="S52" s="431" t="n">
        <f aca="false">-HLOOKUP(DATE(S$7,12,31),Idc_Table,IDC!$AP$75)*$A52-SUM($D52:R52)</f>
        <v>0</v>
      </c>
      <c r="T52" s="431" t="n">
        <f aca="false">-HLOOKUP(DATE(T$7,12,31),Idc_Table,IDC!$AP$75)*$A52-SUM($D52:S52)</f>
        <v>0</v>
      </c>
      <c r="U52" s="431" t="n">
        <f aca="false">-HLOOKUP(DATE(U$7,12,31),Idc_Table,IDC!$AP$75)*$A52-SUM($D52:T52)</f>
        <v>0</v>
      </c>
      <c r="V52" s="431" t="n">
        <f aca="false">-HLOOKUP(DATE(V$7,12,31),Idc_Table,IDC!$AP$75)*$A52-SUM($D52:U52)</f>
        <v>0</v>
      </c>
      <c r="W52" s="431" t="n">
        <f aca="false">-HLOOKUP(DATE(W$7,12,31),Idc_Table,IDC!$AP$75)*$A52-SUM($D52:V52)</f>
        <v>0</v>
      </c>
      <c r="X52" s="431" t="n">
        <f aca="false">-HLOOKUP(DATE(X$7,12,31),Idc_Table,IDC!$AP$75)*$A52-SUM($D52:W52)</f>
        <v>0</v>
      </c>
      <c r="Y52" s="431" t="n">
        <f aca="false">-HLOOKUP(DATE(Y$7,12,31),Idc_Table,IDC!$AP$75)*$A52-SUM($D52:X52)</f>
        <v>0</v>
      </c>
      <c r="Z52" s="431" t="n">
        <f aca="false">-HLOOKUP(DATE(Z$7,12,31),Idc_Table,IDC!$AP$75)*$A52-SUM($D52:Y52)</f>
        <v>0</v>
      </c>
      <c r="AA52" s="432" t="n">
        <f aca="false">SUM(D52:Z52)</f>
        <v>-36692.1917552136</v>
      </c>
      <c r="AB52" s="432" t="n">
        <f aca="false">$E52+NPV(Disc,$F52:Z52)</f>
        <v>-27736.6870102134</v>
      </c>
      <c r="AC52" s="433"/>
      <c r="AD52" s="433"/>
      <c r="AE52" s="433"/>
      <c r="AF52" s="433"/>
      <c r="AG52" s="433"/>
      <c r="AH52" s="433"/>
      <c r="AI52" s="433"/>
      <c r="AJ52" s="433"/>
      <c r="AK52" s="433"/>
      <c r="AL52" s="433"/>
      <c r="AM52" s="433"/>
      <c r="AN52" s="433"/>
      <c r="AO52" s="433"/>
      <c r="AP52" s="433"/>
      <c r="AQ52" s="433"/>
      <c r="AR52" s="433"/>
      <c r="AS52" s="433"/>
      <c r="AT52" s="433"/>
      <c r="AU52" s="433"/>
      <c r="AV52" s="433"/>
      <c r="AW52" s="433"/>
      <c r="AX52" s="433"/>
      <c r="AY52" s="433"/>
      <c r="AZ52" s="433"/>
      <c r="BA52" s="433"/>
      <c r="BB52" s="433"/>
      <c r="BC52" s="433"/>
      <c r="BD52" s="433"/>
      <c r="BE52" s="433"/>
      <c r="BF52" s="433"/>
      <c r="BG52" s="433"/>
      <c r="BH52" s="433"/>
      <c r="BI52" s="433"/>
      <c r="BJ52" s="433"/>
      <c r="BK52" s="433"/>
      <c r="BL52" s="433"/>
      <c r="BM52" s="433"/>
      <c r="BN52" s="433"/>
      <c r="BO52" s="433"/>
      <c r="BP52" s="433"/>
      <c r="BQ52" s="433"/>
      <c r="BR52" s="433"/>
      <c r="BS52" s="433"/>
      <c r="BT52" s="433"/>
      <c r="BU52" s="433"/>
      <c r="BV52" s="433"/>
      <c r="BW52" s="433"/>
      <c r="BX52" s="433"/>
      <c r="BY52" s="433"/>
      <c r="BZ52" s="433"/>
      <c r="CA52" s="433"/>
      <c r="CB52" s="433"/>
      <c r="CC52" s="433"/>
      <c r="CD52" s="433"/>
      <c r="CE52" s="433"/>
      <c r="CF52" s="433"/>
      <c r="CG52" s="433"/>
      <c r="CH52" s="433"/>
      <c r="CI52" s="433"/>
      <c r="CJ52" s="433"/>
      <c r="CK52" s="433"/>
      <c r="CL52" s="433"/>
      <c r="CM52" s="433"/>
      <c r="CN52" s="433"/>
      <c r="CO52" s="433"/>
      <c r="CP52" s="433"/>
      <c r="CQ52" s="433"/>
      <c r="CR52" s="433"/>
      <c r="CS52" s="433"/>
      <c r="CT52" s="433"/>
      <c r="CU52" s="433"/>
      <c r="CV52" s="433"/>
      <c r="CW52" s="433"/>
      <c r="CX52" s="433"/>
      <c r="CY52" s="433"/>
      <c r="CZ52" s="433"/>
      <c r="DA52" s="433"/>
      <c r="DB52" s="433"/>
      <c r="DC52" s="433"/>
      <c r="DD52" s="433"/>
      <c r="DE52" s="433"/>
      <c r="DF52" s="433"/>
      <c r="DG52" s="433"/>
      <c r="DH52" s="433"/>
      <c r="DI52" s="433"/>
      <c r="DJ52" s="433"/>
      <c r="DK52" s="433"/>
      <c r="DL52" s="433"/>
      <c r="DM52" s="433"/>
      <c r="DN52" s="433"/>
      <c r="DO52" s="433"/>
      <c r="DP52" s="433"/>
      <c r="DQ52" s="433"/>
      <c r="DR52" s="433"/>
      <c r="DS52" s="433"/>
      <c r="DT52" s="433"/>
      <c r="DU52" s="433"/>
      <c r="DV52" s="433"/>
      <c r="DW52" s="433"/>
      <c r="DX52" s="433"/>
      <c r="DY52" s="433"/>
      <c r="DZ52" s="433"/>
      <c r="EA52" s="433"/>
      <c r="EB52" s="433"/>
      <c r="EC52" s="433"/>
      <c r="ED52" s="433"/>
      <c r="EE52" s="433"/>
      <c r="EF52" s="433"/>
      <c r="EG52" s="433"/>
      <c r="EH52" s="433"/>
      <c r="EI52" s="433"/>
      <c r="EJ52" s="433"/>
      <c r="EK52" s="433"/>
      <c r="EL52" s="433"/>
      <c r="EM52" s="433"/>
      <c r="EN52" s="433"/>
      <c r="EO52" s="433"/>
      <c r="EP52" s="433"/>
      <c r="EQ52" s="433"/>
      <c r="ER52" s="433"/>
      <c r="ES52" s="433"/>
      <c r="ET52" s="433"/>
      <c r="EU52" s="433"/>
      <c r="EV52" s="433"/>
      <c r="EW52" s="433"/>
      <c r="EX52" s="433"/>
      <c r="EY52" s="433"/>
      <c r="EZ52" s="433"/>
      <c r="FA52" s="433"/>
      <c r="FB52" s="433"/>
      <c r="FC52" s="433"/>
      <c r="FD52" s="433"/>
      <c r="FE52" s="433"/>
      <c r="FF52" s="433"/>
      <c r="FG52" s="433"/>
      <c r="FH52" s="433"/>
      <c r="FI52" s="433"/>
      <c r="FJ52" s="433"/>
      <c r="FK52" s="433"/>
      <c r="FL52" s="433"/>
      <c r="FM52" s="433"/>
      <c r="FN52" s="433"/>
      <c r="FO52" s="433"/>
      <c r="FP52" s="433"/>
      <c r="FQ52" s="433"/>
      <c r="FR52" s="433"/>
      <c r="FS52" s="433"/>
      <c r="FT52" s="433"/>
      <c r="FU52" s="433"/>
      <c r="FV52" s="433"/>
      <c r="FW52" s="433"/>
      <c r="FX52" s="433"/>
      <c r="FY52" s="433"/>
      <c r="FZ52" s="433"/>
      <c r="GA52" s="433"/>
      <c r="GB52" s="433"/>
      <c r="GC52" s="433"/>
      <c r="GD52" s="433"/>
      <c r="GE52" s="433"/>
      <c r="GF52" s="433"/>
      <c r="GG52" s="433"/>
      <c r="GH52" s="433"/>
      <c r="GI52" s="433"/>
      <c r="GJ52" s="433"/>
      <c r="GK52" s="433"/>
      <c r="GL52" s="433"/>
      <c r="GM52" s="433"/>
      <c r="GN52" s="433"/>
      <c r="GO52" s="433"/>
      <c r="GP52" s="433"/>
      <c r="GQ52" s="433"/>
      <c r="GR52" s="433"/>
      <c r="GS52" s="433"/>
      <c r="GT52" s="433"/>
      <c r="GU52" s="433"/>
      <c r="GV52" s="433"/>
      <c r="GW52" s="433"/>
      <c r="GX52" s="433"/>
      <c r="GY52" s="433"/>
      <c r="GZ52" s="433"/>
      <c r="HA52" s="433"/>
      <c r="HB52" s="433"/>
      <c r="HC52" s="433"/>
      <c r="HD52" s="433"/>
      <c r="HE52" s="433"/>
      <c r="HF52" s="433"/>
      <c r="HG52" s="433"/>
      <c r="HH52" s="433"/>
      <c r="HI52" s="433"/>
      <c r="HJ52" s="433"/>
      <c r="HK52" s="433"/>
      <c r="HL52" s="433"/>
      <c r="HM52" s="433"/>
      <c r="HN52" s="433"/>
      <c r="HO52" s="433"/>
      <c r="HP52" s="433"/>
      <c r="HQ52" s="433"/>
      <c r="HR52" s="433"/>
      <c r="HS52" s="433"/>
      <c r="HT52" s="433"/>
      <c r="HU52" s="433"/>
      <c r="HV52" s="433"/>
      <c r="HW52" s="433"/>
      <c r="HX52" s="433"/>
      <c r="HY52" s="433"/>
      <c r="HZ52" s="433"/>
      <c r="IA52" s="433"/>
      <c r="IB52" s="433"/>
      <c r="IC52" s="433"/>
      <c r="ID52" s="433"/>
      <c r="IE52" s="433"/>
      <c r="IF52" s="433"/>
      <c r="IG52" s="433"/>
      <c r="IH52" s="433"/>
      <c r="II52" s="433"/>
      <c r="IJ52" s="433"/>
      <c r="IK52" s="433"/>
      <c r="IL52" s="433"/>
      <c r="IM52" s="433"/>
      <c r="IN52" s="433"/>
      <c r="IO52" s="433"/>
      <c r="IP52" s="433"/>
      <c r="IQ52" s="433"/>
      <c r="IR52" s="433"/>
      <c r="IS52" s="433"/>
      <c r="IT52" s="433"/>
      <c r="IU52" s="433"/>
      <c r="IV52" s="433"/>
      <c r="IW52" s="433"/>
    </row>
    <row r="53" customFormat="false" ht="12.75" hidden="false" customHeight="false" outlineLevel="0" collapsed="false">
      <c r="A53" s="394"/>
      <c r="B53" s="389" t="s">
        <v>398</v>
      </c>
      <c r="C53" s="434"/>
      <c r="D53" s="435"/>
      <c r="E53" s="396" t="n">
        <f aca="false">IF(E$7=YEAR(Fin_Close),-SUM($D52:E52),0)</f>
        <v>0</v>
      </c>
      <c r="F53" s="396" t="n">
        <f aca="false">IF(F$7=YEAR(Fin_Close),-SUM($D52:F52),0)</f>
        <v>0</v>
      </c>
      <c r="G53" s="396" t="n">
        <f aca="false">IF(G$7=YEAR(Fin_Close),-SUM($D52:G52),0)</f>
        <v>36692.1917552136</v>
      </c>
      <c r="H53" s="396" t="n">
        <f aca="false">IF(H$7=YEAR(Fin_Close),-SUM($D52:H52),0)</f>
        <v>0</v>
      </c>
      <c r="I53" s="396" t="n">
        <f aca="false">IF(I$7=YEAR(Fin_Close),-SUM($D52:I52),0)</f>
        <v>0</v>
      </c>
      <c r="J53" s="396" t="n">
        <f aca="false">IF(J$7=YEAR(Fin_Close),-SUM($D52:J52),0)</f>
        <v>0</v>
      </c>
      <c r="K53" s="396" t="n">
        <f aca="false">IF(K$7=YEAR(Fin_Close),-SUM($D52:K52),0)</f>
        <v>0</v>
      </c>
      <c r="L53" s="396" t="n">
        <f aca="false">IF(L$7=YEAR(Fin_Close),-SUM($D52:L52),0)</f>
        <v>0</v>
      </c>
      <c r="M53" s="396" t="n">
        <f aca="false">IF(M$7=YEAR(Fin_Close),-SUM($D52:M52),0)</f>
        <v>0</v>
      </c>
      <c r="N53" s="396" t="n">
        <f aca="false">IF(N$7=YEAR(Fin_Close),-SUM($D52:N52),0)</f>
        <v>0</v>
      </c>
      <c r="O53" s="396" t="n">
        <f aca="false">IF(O$7=YEAR(Fin_Close),-SUM($D52:O52),0)</f>
        <v>0</v>
      </c>
      <c r="P53" s="396" t="n">
        <f aca="false">IF(P$7=YEAR(Fin_Close),-SUM($D52:P52),0)</f>
        <v>0</v>
      </c>
      <c r="Q53" s="396" t="n">
        <f aca="false">IF(Q$7=YEAR(Fin_Close),-SUM($D52:Q52),0)</f>
        <v>0</v>
      </c>
      <c r="R53" s="396" t="n">
        <f aca="false">IF(R$7=YEAR(Fin_Close),-SUM($D52:R52),0)</f>
        <v>0</v>
      </c>
      <c r="S53" s="396" t="n">
        <f aca="false">IF(S$7=YEAR(Fin_Close),-SUM($D52:S52),0)</f>
        <v>0</v>
      </c>
      <c r="T53" s="396" t="n">
        <f aca="false">IF(T$7=YEAR(Fin_Close),-SUM($D52:T52),0)</f>
        <v>0</v>
      </c>
      <c r="U53" s="396" t="n">
        <f aca="false">IF(U$7=YEAR(Fin_Close),-SUM($D52:U52),0)</f>
        <v>0</v>
      </c>
      <c r="V53" s="396" t="n">
        <f aca="false">IF(V$7=YEAR(Fin_Close),-SUM($D52:V52),0)</f>
        <v>0</v>
      </c>
      <c r="W53" s="396" t="n">
        <f aca="false">IF(W$7=YEAR(Fin_Close),-SUM($D52:W52),0)</f>
        <v>0</v>
      </c>
      <c r="X53" s="396" t="n">
        <f aca="false">IF(X$7=YEAR(Fin_Close),-SUM($D52:X52),0)</f>
        <v>0</v>
      </c>
      <c r="Y53" s="396" t="n">
        <f aca="false">IF(Y$7=YEAR(Fin_Close),-SUM($D52:Y52),0)</f>
        <v>0</v>
      </c>
      <c r="Z53" s="396" t="n">
        <f aca="false">IF(Z$7=YEAR(Fin_Close),-SUM($D52:Z52),0)</f>
        <v>0</v>
      </c>
      <c r="AA53" s="392" t="n">
        <f aca="false">SUM(D53:Z53)</f>
        <v>36692.1917552136</v>
      </c>
      <c r="AB53" s="392" t="n">
        <f aca="false">$E53+NPV(Disc,$F53:Z53)</f>
        <v>25910.7349447169</v>
      </c>
      <c r="AC53" s="393"/>
      <c r="AD53" s="393"/>
      <c r="AE53" s="393"/>
      <c r="AF53" s="393"/>
      <c r="AG53" s="393"/>
      <c r="AH53" s="393"/>
      <c r="AI53" s="393"/>
      <c r="AJ53" s="393"/>
      <c r="AK53" s="393"/>
      <c r="AL53" s="393"/>
      <c r="AM53" s="393"/>
      <c r="AN53" s="393"/>
      <c r="AO53" s="393"/>
      <c r="AP53" s="393"/>
      <c r="AQ53" s="393"/>
      <c r="AR53" s="393"/>
      <c r="AS53" s="393"/>
      <c r="AT53" s="393"/>
      <c r="AU53" s="393"/>
      <c r="AV53" s="393"/>
      <c r="AW53" s="393"/>
      <c r="AX53" s="393"/>
      <c r="AY53" s="393"/>
      <c r="AZ53" s="393"/>
      <c r="BA53" s="393"/>
      <c r="BB53" s="393"/>
      <c r="BC53" s="393"/>
      <c r="BD53" s="393"/>
      <c r="BE53" s="393"/>
      <c r="BF53" s="393"/>
      <c r="BG53" s="393"/>
      <c r="BH53" s="393"/>
      <c r="BI53" s="393"/>
      <c r="BJ53" s="393"/>
      <c r="BK53" s="393"/>
      <c r="BL53" s="393"/>
      <c r="BM53" s="393"/>
      <c r="BN53" s="393"/>
      <c r="BO53" s="393"/>
      <c r="BP53" s="393"/>
      <c r="BQ53" s="393"/>
      <c r="BR53" s="393"/>
      <c r="BS53" s="393"/>
      <c r="BT53" s="393"/>
      <c r="BU53" s="393"/>
      <c r="BV53" s="393"/>
      <c r="BW53" s="393"/>
      <c r="BX53" s="393"/>
      <c r="BY53" s="393"/>
      <c r="BZ53" s="393"/>
      <c r="CA53" s="393"/>
      <c r="CB53" s="393"/>
      <c r="CC53" s="393"/>
      <c r="CD53" s="393"/>
      <c r="CE53" s="393"/>
      <c r="CF53" s="393"/>
      <c r="CG53" s="393"/>
      <c r="CH53" s="393"/>
      <c r="CI53" s="393"/>
      <c r="CJ53" s="393"/>
      <c r="CK53" s="393"/>
      <c r="CL53" s="393"/>
      <c r="CM53" s="393"/>
      <c r="CN53" s="393"/>
      <c r="CO53" s="393"/>
      <c r="CP53" s="393"/>
      <c r="CQ53" s="393"/>
      <c r="CR53" s="393"/>
      <c r="CS53" s="393"/>
      <c r="CT53" s="393"/>
      <c r="CU53" s="393"/>
      <c r="CV53" s="393"/>
      <c r="CW53" s="393"/>
      <c r="CX53" s="393"/>
      <c r="CY53" s="393"/>
      <c r="CZ53" s="393"/>
      <c r="DA53" s="393"/>
      <c r="DB53" s="393"/>
      <c r="DC53" s="393"/>
      <c r="DD53" s="393"/>
      <c r="DE53" s="393"/>
      <c r="DF53" s="393"/>
      <c r="DG53" s="393"/>
      <c r="DH53" s="393"/>
      <c r="DI53" s="393"/>
      <c r="DJ53" s="393"/>
      <c r="DK53" s="393"/>
      <c r="DL53" s="393"/>
      <c r="DM53" s="393"/>
      <c r="DN53" s="393"/>
      <c r="DO53" s="393"/>
      <c r="DP53" s="393"/>
      <c r="DQ53" s="393"/>
      <c r="DR53" s="393"/>
      <c r="DS53" s="393"/>
      <c r="DT53" s="393"/>
      <c r="DU53" s="393"/>
      <c r="DV53" s="393"/>
      <c r="DW53" s="393"/>
      <c r="DX53" s="393"/>
      <c r="DY53" s="393"/>
      <c r="DZ53" s="393"/>
      <c r="EA53" s="393"/>
      <c r="EB53" s="393"/>
      <c r="EC53" s="393"/>
      <c r="ED53" s="393"/>
      <c r="EE53" s="393"/>
      <c r="EF53" s="393"/>
      <c r="EG53" s="393"/>
      <c r="EH53" s="393"/>
      <c r="EI53" s="393"/>
      <c r="EJ53" s="393"/>
      <c r="EK53" s="393"/>
      <c r="EL53" s="393"/>
      <c r="EM53" s="393"/>
      <c r="EN53" s="393"/>
      <c r="EO53" s="393"/>
      <c r="EP53" s="393"/>
      <c r="EQ53" s="393"/>
      <c r="ER53" s="393"/>
      <c r="ES53" s="393"/>
      <c r="ET53" s="393"/>
      <c r="EU53" s="393"/>
      <c r="EV53" s="393"/>
      <c r="EW53" s="393"/>
      <c r="EX53" s="393"/>
      <c r="EY53" s="393"/>
      <c r="EZ53" s="393"/>
      <c r="FA53" s="393"/>
      <c r="FB53" s="393"/>
      <c r="FC53" s="393"/>
      <c r="FD53" s="393"/>
      <c r="FE53" s="393"/>
      <c r="FF53" s="393"/>
      <c r="FG53" s="393"/>
      <c r="FH53" s="393"/>
      <c r="FI53" s="393"/>
      <c r="FJ53" s="393"/>
      <c r="FK53" s="393"/>
      <c r="FL53" s="393"/>
      <c r="FM53" s="393"/>
      <c r="FN53" s="393"/>
      <c r="FO53" s="393"/>
      <c r="FP53" s="393"/>
      <c r="FQ53" s="393"/>
      <c r="FR53" s="393"/>
      <c r="FS53" s="393"/>
      <c r="FT53" s="393"/>
      <c r="FU53" s="393"/>
      <c r="FV53" s="393"/>
      <c r="FW53" s="393"/>
      <c r="FX53" s="393"/>
      <c r="FY53" s="393"/>
      <c r="FZ53" s="393"/>
      <c r="GA53" s="393"/>
      <c r="GB53" s="393"/>
      <c r="GC53" s="393"/>
      <c r="GD53" s="393"/>
      <c r="GE53" s="393"/>
      <c r="GF53" s="393"/>
      <c r="GG53" s="393"/>
      <c r="GH53" s="393"/>
      <c r="GI53" s="393"/>
      <c r="GJ53" s="393"/>
      <c r="GK53" s="393"/>
      <c r="GL53" s="393"/>
      <c r="GM53" s="393"/>
      <c r="GN53" s="393"/>
      <c r="GO53" s="393"/>
      <c r="GP53" s="393"/>
      <c r="GQ53" s="393"/>
      <c r="GR53" s="393"/>
      <c r="GS53" s="393"/>
      <c r="GT53" s="393"/>
      <c r="GU53" s="393"/>
      <c r="GV53" s="393"/>
      <c r="GW53" s="393"/>
      <c r="GX53" s="393"/>
      <c r="GY53" s="393"/>
      <c r="GZ53" s="393"/>
      <c r="HA53" s="393"/>
      <c r="HB53" s="393"/>
      <c r="HC53" s="393"/>
      <c r="HD53" s="393"/>
      <c r="HE53" s="393"/>
      <c r="HF53" s="393"/>
      <c r="HG53" s="393"/>
      <c r="HH53" s="393"/>
      <c r="HI53" s="393"/>
      <c r="HJ53" s="393"/>
      <c r="HK53" s="393"/>
      <c r="HL53" s="393"/>
      <c r="HM53" s="393"/>
      <c r="HN53" s="393"/>
      <c r="HO53" s="393"/>
      <c r="HP53" s="393"/>
      <c r="HQ53" s="393"/>
      <c r="HR53" s="393"/>
      <c r="HS53" s="393"/>
      <c r="HT53" s="393"/>
      <c r="HU53" s="393"/>
      <c r="HV53" s="393"/>
      <c r="HW53" s="393"/>
      <c r="HX53" s="393"/>
      <c r="HY53" s="393"/>
      <c r="HZ53" s="393"/>
      <c r="IA53" s="393"/>
      <c r="IB53" s="393"/>
      <c r="IC53" s="393"/>
      <c r="ID53" s="393"/>
      <c r="IE53" s="393"/>
      <c r="IF53" s="393"/>
      <c r="IG53" s="393"/>
      <c r="IH53" s="393"/>
      <c r="II53" s="393"/>
      <c r="IJ53" s="393"/>
      <c r="IK53" s="393"/>
      <c r="IL53" s="393"/>
      <c r="IM53" s="393"/>
      <c r="IN53" s="393"/>
      <c r="IO53" s="393"/>
      <c r="IP53" s="393"/>
      <c r="IQ53" s="393"/>
      <c r="IR53" s="393"/>
      <c r="IS53" s="393"/>
      <c r="IT53" s="393"/>
      <c r="IU53" s="393"/>
      <c r="IV53" s="393"/>
      <c r="IW53" s="393"/>
    </row>
    <row r="54" customFormat="false" ht="12.75" hidden="false" customHeight="false" outlineLevel="0" collapsed="false">
      <c r="A54" s="394"/>
      <c r="B54" s="389" t="s">
        <v>399</v>
      </c>
      <c r="C54" s="399" t="s">
        <v>280</v>
      </c>
      <c r="D54" s="435"/>
      <c r="E54" s="396" t="n">
        <f aca="false">IF(E$7&lt;YEAR(Startops1),0,HLOOKUP(DATE(E$7,12,31),Idc_Table,IDC!$AP$73)*$A52-SUM($D54:D54))</f>
        <v>0</v>
      </c>
      <c r="F54" s="396" t="n">
        <f aca="false">HLOOKUP(DATE(F$7,12,31),Idc_Table,IDC!$AP$73)*$A52-SUM($D54:E54)</f>
        <v>211.983162518271</v>
      </c>
      <c r="G54" s="396" t="n">
        <f aca="false">HLOOKUP(DATE(G$7,12,31),Idc_Table,IDC!$AP$73)*$A52-SUM($D54:F54)</f>
        <v>933.315519181936</v>
      </c>
      <c r="H54" s="396" t="n">
        <f aca="false">HLOOKUP(DATE(H$7,12,31),Idc_Table,IDC!$AP$73)*$A52-SUM($D54:G54)</f>
        <v>0</v>
      </c>
      <c r="I54" s="396" t="n">
        <f aca="false">HLOOKUP(DATE(I$7,12,31),Idc_Table,IDC!$AP$73)*$A52-SUM($D54:H54)</f>
        <v>0</v>
      </c>
      <c r="J54" s="396" t="n">
        <f aca="false">HLOOKUP(DATE(J$7,12,31),Idc_Table,IDC!$AP$73)*$A52-SUM($D54:I54)</f>
        <v>0</v>
      </c>
      <c r="K54" s="396" t="n">
        <f aca="false">HLOOKUP(DATE(K$7,12,31),Idc_Table,IDC!$AP$73)*$A52-SUM($D54:J54)</f>
        <v>0</v>
      </c>
      <c r="L54" s="396" t="n">
        <f aca="false">HLOOKUP(DATE(L$7,12,31),Idc_Table,IDC!$AP$73)*$A52-SUM($D54:K54)</f>
        <v>0</v>
      </c>
      <c r="M54" s="396" t="n">
        <f aca="false">HLOOKUP(DATE(M$7,12,31),Idc_Table,IDC!$AP$73)*$A52-SUM($D54:L54)</f>
        <v>0</v>
      </c>
      <c r="N54" s="396" t="n">
        <f aca="false">HLOOKUP(DATE(N$7,12,31),Idc_Table,IDC!$AP$73)*$A52-SUM($D54:M54)</f>
        <v>0</v>
      </c>
      <c r="O54" s="396" t="n">
        <f aca="false">HLOOKUP(DATE(O$7,12,31),Idc_Table,IDC!$AP$73)*$A52-SUM($D54:N54)</f>
        <v>0</v>
      </c>
      <c r="P54" s="396" t="n">
        <f aca="false">HLOOKUP(DATE(P$7,12,31),Idc_Table,IDC!$AP$73)*$A52-SUM($D54:O54)</f>
        <v>0</v>
      </c>
      <c r="Q54" s="396" t="n">
        <f aca="false">HLOOKUP(DATE(Q$7,12,31),Idc_Table,IDC!$AP$73)*$A52-SUM($D54:P54)</f>
        <v>0</v>
      </c>
      <c r="R54" s="396" t="n">
        <f aca="false">HLOOKUP(DATE(R$7,12,31),Idc_Table,IDC!$AP$73)*$A52-SUM($D54:Q54)</f>
        <v>0</v>
      </c>
      <c r="S54" s="396" t="n">
        <f aca="false">HLOOKUP(DATE(S$7,12,31),Idc_Table,IDC!$AP$73)*$A52-SUM($D54:R54)</f>
        <v>0</v>
      </c>
      <c r="T54" s="396" t="n">
        <f aca="false">HLOOKUP(DATE(T$7,12,31),Idc_Table,IDC!$AP$73)*$A52-SUM($D54:S54)</f>
        <v>0</v>
      </c>
      <c r="U54" s="396" t="n">
        <f aca="false">HLOOKUP(DATE(U$7,12,31),Idc_Table,IDC!$AP$73)*$A52-SUM($D54:T54)</f>
        <v>0</v>
      </c>
      <c r="V54" s="396" t="n">
        <f aca="false">HLOOKUP(DATE(V$7,12,31),Idc_Table,IDC!$AP$73)*$A52-SUM($D54:U54)</f>
        <v>0</v>
      </c>
      <c r="W54" s="396" t="n">
        <f aca="false">HLOOKUP(DATE(W$7,12,31),Idc_Table,IDC!$AP$73)*$A52-SUM($D54:V54)</f>
        <v>0</v>
      </c>
      <c r="X54" s="396" t="n">
        <f aca="false">HLOOKUP(DATE(X$7,12,31),Idc_Table,IDC!$AP$73)*$A52-SUM($D54:W54)</f>
        <v>0</v>
      </c>
      <c r="Y54" s="396" t="n">
        <f aca="false">HLOOKUP(DATE(Y$7,12,31),Idc_Table,IDC!$AP$73)*$A52-SUM($D54:X54)</f>
        <v>0</v>
      </c>
      <c r="Z54" s="396" t="n">
        <f aca="false">HLOOKUP(DATE(Z$7,12,31),Idc_Table,IDC!$AP$73)*$A52-SUM($D54:Y54)</f>
        <v>0</v>
      </c>
      <c r="AA54" s="392" t="n">
        <f aca="false">SUM(D54:Z54)</f>
        <v>1145.29868170021</v>
      </c>
      <c r="AB54" s="392" t="n">
        <f aca="false">$E54+NPV(Disc,$F54:Z54)</f>
        <v>837.211695910373</v>
      </c>
      <c r="AC54" s="393"/>
      <c r="AD54" s="393"/>
      <c r="AE54" s="393"/>
      <c r="AF54" s="393"/>
      <c r="AG54" s="393"/>
      <c r="AH54" s="393"/>
      <c r="AI54" s="393"/>
      <c r="AJ54" s="393"/>
      <c r="AK54" s="393"/>
      <c r="AL54" s="393"/>
      <c r="AM54" s="393"/>
      <c r="AN54" s="393"/>
      <c r="AO54" s="393"/>
      <c r="AP54" s="393"/>
      <c r="AQ54" s="393"/>
      <c r="AR54" s="393"/>
      <c r="AS54" s="393"/>
      <c r="AT54" s="393"/>
      <c r="AU54" s="393"/>
      <c r="AV54" s="393"/>
      <c r="AW54" s="393"/>
      <c r="AX54" s="393"/>
      <c r="AY54" s="393"/>
      <c r="AZ54" s="393"/>
      <c r="BA54" s="393"/>
      <c r="BB54" s="393"/>
      <c r="BC54" s="393"/>
      <c r="BD54" s="393"/>
      <c r="BE54" s="393"/>
      <c r="BF54" s="393"/>
      <c r="BG54" s="393"/>
      <c r="BH54" s="393"/>
      <c r="BI54" s="393"/>
      <c r="BJ54" s="393"/>
      <c r="BK54" s="393"/>
      <c r="BL54" s="393"/>
      <c r="BM54" s="393"/>
      <c r="BN54" s="393"/>
      <c r="BO54" s="393"/>
      <c r="BP54" s="393"/>
      <c r="BQ54" s="393"/>
      <c r="BR54" s="393"/>
      <c r="BS54" s="393"/>
      <c r="BT54" s="393"/>
      <c r="BU54" s="393"/>
      <c r="BV54" s="393"/>
      <c r="BW54" s="393"/>
      <c r="BX54" s="393"/>
      <c r="BY54" s="393"/>
      <c r="BZ54" s="393"/>
      <c r="CA54" s="393"/>
      <c r="CB54" s="393"/>
      <c r="CC54" s="393"/>
      <c r="CD54" s="393"/>
      <c r="CE54" s="393"/>
      <c r="CF54" s="393"/>
      <c r="CG54" s="393"/>
      <c r="CH54" s="393"/>
      <c r="CI54" s="393"/>
      <c r="CJ54" s="393"/>
      <c r="CK54" s="393"/>
      <c r="CL54" s="393"/>
      <c r="CM54" s="393"/>
      <c r="CN54" s="393"/>
      <c r="CO54" s="393"/>
      <c r="CP54" s="393"/>
      <c r="CQ54" s="393"/>
      <c r="CR54" s="393"/>
      <c r="CS54" s="393"/>
      <c r="CT54" s="393"/>
      <c r="CU54" s="393"/>
      <c r="CV54" s="393"/>
      <c r="CW54" s="393"/>
      <c r="CX54" s="393"/>
      <c r="CY54" s="393"/>
      <c r="CZ54" s="393"/>
      <c r="DA54" s="393"/>
      <c r="DB54" s="393"/>
      <c r="DC54" s="393"/>
      <c r="DD54" s="393"/>
      <c r="DE54" s="393"/>
      <c r="DF54" s="393"/>
      <c r="DG54" s="393"/>
      <c r="DH54" s="393"/>
      <c r="DI54" s="393"/>
      <c r="DJ54" s="393"/>
      <c r="DK54" s="393"/>
      <c r="DL54" s="393"/>
      <c r="DM54" s="393"/>
      <c r="DN54" s="393"/>
      <c r="DO54" s="393"/>
      <c r="DP54" s="393"/>
      <c r="DQ54" s="393"/>
      <c r="DR54" s="393"/>
      <c r="DS54" s="393"/>
      <c r="DT54" s="393"/>
      <c r="DU54" s="393"/>
      <c r="DV54" s="393"/>
      <c r="DW54" s="393"/>
      <c r="DX54" s="393"/>
      <c r="DY54" s="393"/>
      <c r="DZ54" s="393"/>
      <c r="EA54" s="393"/>
      <c r="EB54" s="393"/>
      <c r="EC54" s="393"/>
      <c r="ED54" s="393"/>
      <c r="EE54" s="393"/>
      <c r="EF54" s="393"/>
      <c r="EG54" s="393"/>
      <c r="EH54" s="393"/>
      <c r="EI54" s="393"/>
      <c r="EJ54" s="393"/>
      <c r="EK54" s="393"/>
      <c r="EL54" s="393"/>
      <c r="EM54" s="393"/>
      <c r="EN54" s="393"/>
      <c r="EO54" s="393"/>
      <c r="EP54" s="393"/>
      <c r="EQ54" s="393"/>
      <c r="ER54" s="393"/>
      <c r="ES54" s="393"/>
      <c r="ET54" s="393"/>
      <c r="EU54" s="393"/>
      <c r="EV54" s="393"/>
      <c r="EW54" s="393"/>
      <c r="EX54" s="393"/>
      <c r="EY54" s="393"/>
      <c r="EZ54" s="393"/>
      <c r="FA54" s="393"/>
      <c r="FB54" s="393"/>
      <c r="FC54" s="393"/>
      <c r="FD54" s="393"/>
      <c r="FE54" s="393"/>
      <c r="FF54" s="393"/>
      <c r="FG54" s="393"/>
      <c r="FH54" s="393"/>
      <c r="FI54" s="393"/>
      <c r="FJ54" s="393"/>
      <c r="FK54" s="393"/>
      <c r="FL54" s="393"/>
      <c r="FM54" s="393"/>
      <c r="FN54" s="393"/>
      <c r="FO54" s="393"/>
      <c r="FP54" s="393"/>
      <c r="FQ54" s="393"/>
      <c r="FR54" s="393"/>
      <c r="FS54" s="393"/>
      <c r="FT54" s="393"/>
      <c r="FU54" s="393"/>
      <c r="FV54" s="393"/>
      <c r="FW54" s="393"/>
      <c r="FX54" s="393"/>
      <c r="FY54" s="393"/>
      <c r="FZ54" s="393"/>
      <c r="GA54" s="393"/>
      <c r="GB54" s="393"/>
      <c r="GC54" s="393"/>
      <c r="GD54" s="393"/>
      <c r="GE54" s="393"/>
      <c r="GF54" s="393"/>
      <c r="GG54" s="393"/>
      <c r="GH54" s="393"/>
      <c r="GI54" s="393"/>
      <c r="GJ54" s="393"/>
      <c r="GK54" s="393"/>
      <c r="GL54" s="393"/>
      <c r="GM54" s="393"/>
      <c r="GN54" s="393"/>
      <c r="GO54" s="393"/>
      <c r="GP54" s="393"/>
      <c r="GQ54" s="393"/>
      <c r="GR54" s="393"/>
      <c r="GS54" s="393"/>
      <c r="GT54" s="393"/>
      <c r="GU54" s="393"/>
      <c r="GV54" s="393"/>
      <c r="GW54" s="393"/>
      <c r="GX54" s="393"/>
      <c r="GY54" s="393"/>
      <c r="GZ54" s="393"/>
      <c r="HA54" s="393"/>
      <c r="HB54" s="393"/>
      <c r="HC54" s="393"/>
      <c r="HD54" s="393"/>
      <c r="HE54" s="393"/>
      <c r="HF54" s="393"/>
      <c r="HG54" s="393"/>
      <c r="HH54" s="393"/>
      <c r="HI54" s="393"/>
      <c r="HJ54" s="393"/>
      <c r="HK54" s="393"/>
      <c r="HL54" s="393"/>
      <c r="HM54" s="393"/>
      <c r="HN54" s="393"/>
      <c r="HO54" s="393"/>
      <c r="HP54" s="393"/>
      <c r="HQ54" s="393"/>
      <c r="HR54" s="393"/>
      <c r="HS54" s="393"/>
      <c r="HT54" s="393"/>
      <c r="HU54" s="393"/>
      <c r="HV54" s="393"/>
      <c r="HW54" s="393"/>
      <c r="HX54" s="393"/>
      <c r="HY54" s="393"/>
      <c r="HZ54" s="393"/>
      <c r="IA54" s="393"/>
      <c r="IB54" s="393"/>
      <c r="IC54" s="393"/>
      <c r="ID54" s="393"/>
      <c r="IE54" s="393"/>
      <c r="IF54" s="393"/>
      <c r="IG54" s="393"/>
      <c r="IH54" s="393"/>
      <c r="II54" s="393"/>
      <c r="IJ54" s="393"/>
      <c r="IK54" s="393"/>
      <c r="IL54" s="393"/>
      <c r="IM54" s="393"/>
      <c r="IN54" s="393"/>
      <c r="IO54" s="393"/>
      <c r="IP54" s="393"/>
      <c r="IQ54" s="393"/>
      <c r="IR54" s="393"/>
      <c r="IS54" s="393"/>
      <c r="IT54" s="393"/>
      <c r="IU54" s="393"/>
      <c r="IV54" s="393"/>
      <c r="IW54" s="393"/>
    </row>
    <row r="55" customFormat="false" ht="12.75" hidden="false" customHeight="false" outlineLevel="0" collapsed="false">
      <c r="A55" s="394"/>
      <c r="B55" s="389" t="s">
        <v>400</v>
      </c>
      <c r="C55" s="399" t="s">
        <v>280</v>
      </c>
      <c r="D55" s="435"/>
      <c r="E55" s="396" t="n">
        <f aca="false">Assm!$J$14*-Returns!E54</f>
        <v>-0</v>
      </c>
      <c r="F55" s="396" t="n">
        <f aca="false">Assm!$J$14*-Returns!F54</f>
        <v>-52.9957906295677</v>
      </c>
      <c r="G55" s="396" t="n">
        <f aca="false">Assm!$J$14*-Returns!G54</f>
        <v>-233.328879795484</v>
      </c>
      <c r="H55" s="396" t="n">
        <f aca="false">Assm!$J$14*-Returns!H54</f>
        <v>-0</v>
      </c>
      <c r="I55" s="396" t="n">
        <f aca="false">Assm!$J$14*-Returns!I54</f>
        <v>-0</v>
      </c>
      <c r="J55" s="396" t="n">
        <f aca="false">Assm!$J$14*-Returns!J54</f>
        <v>-0</v>
      </c>
      <c r="K55" s="396" t="n">
        <f aca="false">Assm!$J$14*-Returns!K54</f>
        <v>-0</v>
      </c>
      <c r="L55" s="396" t="n">
        <f aca="false">Assm!$J$14*-Returns!L54</f>
        <v>-0</v>
      </c>
      <c r="M55" s="396" t="n">
        <f aca="false">Assm!$J$14*-Returns!M54</f>
        <v>-0</v>
      </c>
      <c r="N55" s="396" t="n">
        <f aca="false">Assm!$J$14*-Returns!N54</f>
        <v>-0</v>
      </c>
      <c r="O55" s="396" t="n">
        <f aca="false">Assm!$J$14*-Returns!O54</f>
        <v>-0</v>
      </c>
      <c r="P55" s="396" t="n">
        <f aca="false">Assm!$J$14*-Returns!P54</f>
        <v>-0</v>
      </c>
      <c r="Q55" s="396" t="n">
        <f aca="false">Assm!$J$14*-Returns!Q54</f>
        <v>-0</v>
      </c>
      <c r="R55" s="396" t="n">
        <f aca="false">Assm!$J$14*-Returns!R54</f>
        <v>-0</v>
      </c>
      <c r="S55" s="396" t="n">
        <f aca="false">Assm!$J$14*-Returns!S54</f>
        <v>-0</v>
      </c>
      <c r="T55" s="396" t="n">
        <f aca="false">Assm!$J$14*-Returns!T54</f>
        <v>-0</v>
      </c>
      <c r="U55" s="396" t="n">
        <f aca="false">Assm!$J$14*-Returns!U54</f>
        <v>-0</v>
      </c>
      <c r="V55" s="396" t="n">
        <f aca="false">Assm!$J$14*-Returns!V54</f>
        <v>-0</v>
      </c>
      <c r="W55" s="396" t="n">
        <f aca="false">Assm!$J$14*-Returns!W54</f>
        <v>-0</v>
      </c>
      <c r="X55" s="396" t="n">
        <f aca="false">Assm!$J$14*-Returns!X54</f>
        <v>-0</v>
      </c>
      <c r="Y55" s="396" t="n">
        <f aca="false">Assm!$J$14*-Returns!Y54</f>
        <v>-0</v>
      </c>
      <c r="Z55" s="396" t="n">
        <f aca="false">Assm!$J$14*-Returns!Z54</f>
        <v>-0</v>
      </c>
      <c r="AA55" s="392"/>
      <c r="AB55" s="392"/>
      <c r="AC55" s="393"/>
      <c r="AD55" s="393"/>
      <c r="AE55" s="393"/>
      <c r="AF55" s="393"/>
      <c r="AG55" s="393"/>
      <c r="AH55" s="393"/>
      <c r="AI55" s="393"/>
      <c r="AJ55" s="393"/>
      <c r="AK55" s="393"/>
      <c r="AL55" s="393"/>
      <c r="AM55" s="393"/>
      <c r="AN55" s="393"/>
      <c r="AO55" s="393"/>
      <c r="AP55" s="393"/>
      <c r="AQ55" s="393"/>
      <c r="AR55" s="393"/>
      <c r="AS55" s="393"/>
      <c r="AT55" s="393"/>
      <c r="AU55" s="393"/>
      <c r="AV55" s="393"/>
      <c r="AW55" s="393"/>
      <c r="AX55" s="393"/>
      <c r="AY55" s="393"/>
      <c r="AZ55" s="393"/>
      <c r="BA55" s="393"/>
      <c r="BB55" s="393"/>
      <c r="BC55" s="393"/>
      <c r="BD55" s="393"/>
      <c r="BE55" s="393"/>
      <c r="BF55" s="393"/>
      <c r="BG55" s="393"/>
      <c r="BH55" s="393"/>
      <c r="BI55" s="393"/>
      <c r="BJ55" s="393"/>
      <c r="BK55" s="393"/>
      <c r="BL55" s="393"/>
      <c r="BM55" s="393"/>
      <c r="BN55" s="393"/>
      <c r="BO55" s="393"/>
      <c r="BP55" s="393"/>
      <c r="BQ55" s="393"/>
      <c r="BR55" s="393"/>
      <c r="BS55" s="393"/>
      <c r="BT55" s="393"/>
      <c r="BU55" s="393"/>
      <c r="BV55" s="393"/>
      <c r="BW55" s="393"/>
      <c r="BX55" s="393"/>
      <c r="BY55" s="393"/>
      <c r="BZ55" s="393"/>
      <c r="CA55" s="393"/>
      <c r="CB55" s="393"/>
      <c r="CC55" s="393"/>
      <c r="CD55" s="393"/>
      <c r="CE55" s="393"/>
      <c r="CF55" s="393"/>
      <c r="CG55" s="393"/>
      <c r="CH55" s="393"/>
      <c r="CI55" s="393"/>
      <c r="CJ55" s="393"/>
      <c r="CK55" s="393"/>
      <c r="CL55" s="393"/>
      <c r="CM55" s="393"/>
      <c r="CN55" s="393"/>
      <c r="CO55" s="393"/>
      <c r="CP55" s="393"/>
      <c r="CQ55" s="393"/>
      <c r="CR55" s="393"/>
      <c r="CS55" s="393"/>
      <c r="CT55" s="393"/>
      <c r="CU55" s="393"/>
      <c r="CV55" s="393"/>
      <c r="CW55" s="393"/>
      <c r="CX55" s="393"/>
      <c r="CY55" s="393"/>
      <c r="CZ55" s="393"/>
      <c r="DA55" s="393"/>
      <c r="DB55" s="393"/>
      <c r="DC55" s="393"/>
      <c r="DD55" s="393"/>
      <c r="DE55" s="393"/>
      <c r="DF55" s="393"/>
      <c r="DG55" s="393"/>
      <c r="DH55" s="393"/>
      <c r="DI55" s="393"/>
      <c r="DJ55" s="393"/>
      <c r="DK55" s="393"/>
      <c r="DL55" s="393"/>
      <c r="DM55" s="393"/>
      <c r="DN55" s="393"/>
      <c r="DO55" s="393"/>
      <c r="DP55" s="393"/>
      <c r="DQ55" s="393"/>
      <c r="DR55" s="393"/>
      <c r="DS55" s="393"/>
      <c r="DT55" s="393"/>
      <c r="DU55" s="393"/>
      <c r="DV55" s="393"/>
      <c r="DW55" s="393"/>
      <c r="DX55" s="393"/>
      <c r="DY55" s="393"/>
      <c r="DZ55" s="393"/>
      <c r="EA55" s="393"/>
      <c r="EB55" s="393"/>
      <c r="EC55" s="393"/>
      <c r="ED55" s="393"/>
      <c r="EE55" s="393"/>
      <c r="EF55" s="393"/>
      <c r="EG55" s="393"/>
      <c r="EH55" s="393"/>
      <c r="EI55" s="393"/>
      <c r="EJ55" s="393"/>
      <c r="EK55" s="393"/>
      <c r="EL55" s="393"/>
      <c r="EM55" s="393"/>
      <c r="EN55" s="393"/>
      <c r="EO55" s="393"/>
      <c r="EP55" s="393"/>
      <c r="EQ55" s="393"/>
      <c r="ER55" s="393"/>
      <c r="ES55" s="393"/>
      <c r="ET55" s="393"/>
      <c r="EU55" s="393"/>
      <c r="EV55" s="393"/>
      <c r="EW55" s="393"/>
      <c r="EX55" s="393"/>
      <c r="EY55" s="393"/>
      <c r="EZ55" s="393"/>
      <c r="FA55" s="393"/>
      <c r="FB55" s="393"/>
      <c r="FC55" s="393"/>
      <c r="FD55" s="393"/>
      <c r="FE55" s="393"/>
      <c r="FF55" s="393"/>
      <c r="FG55" s="393"/>
      <c r="FH55" s="393"/>
      <c r="FI55" s="393"/>
      <c r="FJ55" s="393"/>
      <c r="FK55" s="393"/>
      <c r="FL55" s="393"/>
      <c r="FM55" s="393"/>
      <c r="FN55" s="393"/>
      <c r="FO55" s="393"/>
      <c r="FP55" s="393"/>
      <c r="FQ55" s="393"/>
      <c r="FR55" s="393"/>
      <c r="FS55" s="393"/>
      <c r="FT55" s="393"/>
      <c r="FU55" s="393"/>
      <c r="FV55" s="393"/>
      <c r="FW55" s="393"/>
      <c r="FX55" s="393"/>
      <c r="FY55" s="393"/>
      <c r="FZ55" s="393"/>
      <c r="GA55" s="393"/>
      <c r="GB55" s="393"/>
      <c r="GC55" s="393"/>
      <c r="GD55" s="393"/>
      <c r="GE55" s="393"/>
      <c r="GF55" s="393"/>
      <c r="GG55" s="393"/>
      <c r="GH55" s="393"/>
      <c r="GI55" s="393"/>
      <c r="GJ55" s="393"/>
      <c r="GK55" s="393"/>
      <c r="GL55" s="393"/>
      <c r="GM55" s="393"/>
      <c r="GN55" s="393"/>
      <c r="GO55" s="393"/>
      <c r="GP55" s="393"/>
      <c r="GQ55" s="393"/>
      <c r="GR55" s="393"/>
      <c r="GS55" s="393"/>
      <c r="GT55" s="393"/>
      <c r="GU55" s="393"/>
      <c r="GV55" s="393"/>
      <c r="GW55" s="393"/>
      <c r="GX55" s="393"/>
      <c r="GY55" s="393"/>
      <c r="GZ55" s="393"/>
      <c r="HA55" s="393"/>
      <c r="HB55" s="393"/>
      <c r="HC55" s="393"/>
      <c r="HD55" s="393"/>
      <c r="HE55" s="393"/>
      <c r="HF55" s="393"/>
      <c r="HG55" s="393"/>
      <c r="HH55" s="393"/>
      <c r="HI55" s="393"/>
      <c r="HJ55" s="393"/>
      <c r="HK55" s="393"/>
      <c r="HL55" s="393"/>
      <c r="HM55" s="393"/>
      <c r="HN55" s="393"/>
      <c r="HO55" s="393"/>
      <c r="HP55" s="393"/>
      <c r="HQ55" s="393"/>
      <c r="HR55" s="393"/>
      <c r="HS55" s="393"/>
      <c r="HT55" s="393"/>
      <c r="HU55" s="393"/>
      <c r="HV55" s="393"/>
      <c r="HW55" s="393"/>
      <c r="HX55" s="393"/>
      <c r="HY55" s="393"/>
      <c r="HZ55" s="393"/>
      <c r="IA55" s="393"/>
      <c r="IB55" s="393"/>
      <c r="IC55" s="393"/>
      <c r="ID55" s="393"/>
      <c r="IE55" s="393"/>
      <c r="IF55" s="393"/>
      <c r="IG55" s="393"/>
      <c r="IH55" s="393"/>
      <c r="II55" s="393"/>
      <c r="IJ55" s="393"/>
      <c r="IK55" s="393"/>
      <c r="IL55" s="393"/>
      <c r="IM55" s="393"/>
      <c r="IN55" s="393"/>
      <c r="IO55" s="393"/>
      <c r="IP55" s="393"/>
      <c r="IQ55" s="393"/>
      <c r="IR55" s="393"/>
      <c r="IS55" s="393"/>
      <c r="IT55" s="393"/>
      <c r="IU55" s="393"/>
      <c r="IV55" s="393"/>
      <c r="IW55" s="393"/>
    </row>
    <row r="56" customFormat="false" ht="12.75" hidden="false" customHeight="false" outlineLevel="0" collapsed="false">
      <c r="A56" s="394"/>
      <c r="B56" s="389" t="s">
        <v>401</v>
      </c>
      <c r="C56" s="399" t="s">
        <v>280</v>
      </c>
      <c r="D56" s="435"/>
      <c r="E56" s="396" t="n">
        <f aca="false">-PLRisk!E43</f>
        <v>0</v>
      </c>
      <c r="F56" s="396" t="n">
        <f aca="false">-PLRisk!F43</f>
        <v>-90.7273936824407</v>
      </c>
      <c r="G56" s="396" t="n">
        <f aca="false">-PLRisk!G43</f>
        <v>-90.7273936824407</v>
      </c>
      <c r="H56" s="396" t="n">
        <f aca="false">-PLRisk!H43</f>
        <v>0</v>
      </c>
      <c r="I56" s="396" t="n">
        <f aca="false">-PLRisk!I43</f>
        <v>0</v>
      </c>
      <c r="J56" s="396" t="n">
        <f aca="false">-PLRisk!J43</f>
        <v>0</v>
      </c>
      <c r="K56" s="396" t="n">
        <f aca="false">-PLRisk!K43</f>
        <v>0</v>
      </c>
      <c r="L56" s="396" t="n">
        <f aca="false">-PLRisk!L43</f>
        <v>0</v>
      </c>
      <c r="M56" s="396" t="n">
        <f aca="false">-PLRisk!M43</f>
        <v>0</v>
      </c>
      <c r="N56" s="396" t="n">
        <f aca="false">-PLRisk!N43</f>
        <v>0</v>
      </c>
      <c r="O56" s="396" t="n">
        <f aca="false">-PLRisk!O43</f>
        <v>0</v>
      </c>
      <c r="P56" s="396" t="n">
        <f aca="false">-PLRisk!P43</f>
        <v>0</v>
      </c>
      <c r="Q56" s="396" t="n">
        <f aca="false">-PLRisk!Q43</f>
        <v>0</v>
      </c>
      <c r="R56" s="396" t="n">
        <f aca="false">-PLRisk!R43</f>
        <v>0</v>
      </c>
      <c r="S56" s="396" t="n">
        <f aca="false">-PLRisk!S43</f>
        <v>0</v>
      </c>
      <c r="T56" s="396" t="n">
        <f aca="false">-PLRisk!T43</f>
        <v>0</v>
      </c>
      <c r="U56" s="396" t="n">
        <f aca="false">-PLRisk!U43</f>
        <v>0</v>
      </c>
      <c r="V56" s="396" t="n">
        <f aca="false">-PLRisk!V43</f>
        <v>0</v>
      </c>
      <c r="W56" s="396" t="n">
        <f aca="false">-PLRisk!W43</f>
        <v>0</v>
      </c>
      <c r="X56" s="396" t="n">
        <f aca="false">-PLRisk!X43</f>
        <v>0</v>
      </c>
      <c r="Y56" s="396" t="n">
        <f aca="false">-PLRisk!Y43</f>
        <v>0</v>
      </c>
      <c r="Z56" s="396" t="n">
        <f aca="false">-PLRisk!Z43</f>
        <v>0</v>
      </c>
      <c r="AA56" s="392" t="n">
        <f aca="false">SUM(D56:Z56)</f>
        <v>-181.454787364881</v>
      </c>
      <c r="AB56" s="392" t="n">
        <f aca="false">$E56+NPV(Disc,$F56:Z56)</f>
        <v>-140.310000822361</v>
      </c>
      <c r="AC56" s="393"/>
      <c r="AD56" s="393"/>
      <c r="AE56" s="393"/>
      <c r="AF56" s="393"/>
      <c r="AG56" s="393"/>
      <c r="AH56" s="393"/>
      <c r="AI56" s="393"/>
      <c r="AJ56" s="393"/>
      <c r="AK56" s="393"/>
      <c r="AL56" s="393"/>
      <c r="AM56" s="393"/>
      <c r="AN56" s="393"/>
      <c r="AO56" s="393"/>
      <c r="AP56" s="393"/>
      <c r="AQ56" s="393"/>
      <c r="AR56" s="393"/>
      <c r="AS56" s="393"/>
      <c r="AT56" s="393"/>
      <c r="AU56" s="393"/>
      <c r="AV56" s="393"/>
      <c r="AW56" s="393"/>
      <c r="AX56" s="393"/>
      <c r="AY56" s="393"/>
      <c r="AZ56" s="393"/>
      <c r="BA56" s="393"/>
      <c r="BB56" s="393"/>
      <c r="BC56" s="393"/>
      <c r="BD56" s="393"/>
      <c r="BE56" s="393"/>
      <c r="BF56" s="393"/>
      <c r="BG56" s="393"/>
      <c r="BH56" s="393"/>
      <c r="BI56" s="393"/>
      <c r="BJ56" s="393"/>
      <c r="BK56" s="393"/>
      <c r="BL56" s="393"/>
      <c r="BM56" s="393"/>
      <c r="BN56" s="393"/>
      <c r="BO56" s="393"/>
      <c r="BP56" s="393"/>
      <c r="BQ56" s="393"/>
      <c r="BR56" s="393"/>
      <c r="BS56" s="393"/>
      <c r="BT56" s="393"/>
      <c r="BU56" s="393"/>
      <c r="BV56" s="393"/>
      <c r="BW56" s="393"/>
      <c r="BX56" s="393"/>
      <c r="BY56" s="393"/>
      <c r="BZ56" s="393"/>
      <c r="CA56" s="393"/>
      <c r="CB56" s="393"/>
      <c r="CC56" s="393"/>
      <c r="CD56" s="393"/>
      <c r="CE56" s="393"/>
      <c r="CF56" s="393"/>
      <c r="CG56" s="393"/>
      <c r="CH56" s="393"/>
      <c r="CI56" s="393"/>
      <c r="CJ56" s="393"/>
      <c r="CK56" s="393"/>
      <c r="CL56" s="393"/>
      <c r="CM56" s="393"/>
      <c r="CN56" s="393"/>
      <c r="CO56" s="393"/>
      <c r="CP56" s="393"/>
      <c r="CQ56" s="393"/>
      <c r="CR56" s="393"/>
      <c r="CS56" s="393"/>
      <c r="CT56" s="393"/>
      <c r="CU56" s="393"/>
      <c r="CV56" s="393"/>
      <c r="CW56" s="393"/>
      <c r="CX56" s="393"/>
      <c r="CY56" s="393"/>
      <c r="CZ56" s="393"/>
      <c r="DA56" s="393"/>
      <c r="DB56" s="393"/>
      <c r="DC56" s="393"/>
      <c r="DD56" s="393"/>
      <c r="DE56" s="393"/>
      <c r="DF56" s="393"/>
      <c r="DG56" s="393"/>
      <c r="DH56" s="393"/>
      <c r="DI56" s="393"/>
      <c r="DJ56" s="393"/>
      <c r="DK56" s="393"/>
      <c r="DL56" s="393"/>
      <c r="DM56" s="393"/>
      <c r="DN56" s="393"/>
      <c r="DO56" s="393"/>
      <c r="DP56" s="393"/>
      <c r="DQ56" s="393"/>
      <c r="DR56" s="393"/>
      <c r="DS56" s="393"/>
      <c r="DT56" s="393"/>
      <c r="DU56" s="393"/>
      <c r="DV56" s="393"/>
      <c r="DW56" s="393"/>
      <c r="DX56" s="393"/>
      <c r="DY56" s="393"/>
      <c r="DZ56" s="393"/>
      <c r="EA56" s="393"/>
      <c r="EB56" s="393"/>
      <c r="EC56" s="393"/>
      <c r="ED56" s="393"/>
      <c r="EE56" s="393"/>
      <c r="EF56" s="393"/>
      <c r="EG56" s="393"/>
      <c r="EH56" s="393"/>
      <c r="EI56" s="393"/>
      <c r="EJ56" s="393"/>
      <c r="EK56" s="393"/>
      <c r="EL56" s="393"/>
      <c r="EM56" s="393"/>
      <c r="EN56" s="393"/>
      <c r="EO56" s="393"/>
      <c r="EP56" s="393"/>
      <c r="EQ56" s="393"/>
      <c r="ER56" s="393"/>
      <c r="ES56" s="393"/>
      <c r="ET56" s="393"/>
      <c r="EU56" s="393"/>
      <c r="EV56" s="393"/>
      <c r="EW56" s="393"/>
      <c r="EX56" s="393"/>
      <c r="EY56" s="393"/>
      <c r="EZ56" s="393"/>
      <c r="FA56" s="393"/>
      <c r="FB56" s="393"/>
      <c r="FC56" s="393"/>
      <c r="FD56" s="393"/>
      <c r="FE56" s="393"/>
      <c r="FF56" s="393"/>
      <c r="FG56" s="393"/>
      <c r="FH56" s="393"/>
      <c r="FI56" s="393"/>
      <c r="FJ56" s="393"/>
      <c r="FK56" s="393"/>
      <c r="FL56" s="393"/>
      <c r="FM56" s="393"/>
      <c r="FN56" s="393"/>
      <c r="FO56" s="393"/>
      <c r="FP56" s="393"/>
      <c r="FQ56" s="393"/>
      <c r="FR56" s="393"/>
      <c r="FS56" s="393"/>
      <c r="FT56" s="393"/>
      <c r="FU56" s="393"/>
      <c r="FV56" s="393"/>
      <c r="FW56" s="393"/>
      <c r="FX56" s="393"/>
      <c r="FY56" s="393"/>
      <c r="FZ56" s="393"/>
      <c r="GA56" s="393"/>
      <c r="GB56" s="393"/>
      <c r="GC56" s="393"/>
      <c r="GD56" s="393"/>
      <c r="GE56" s="393"/>
      <c r="GF56" s="393"/>
      <c r="GG56" s="393"/>
      <c r="GH56" s="393"/>
      <c r="GI56" s="393"/>
      <c r="GJ56" s="393"/>
      <c r="GK56" s="393"/>
      <c r="GL56" s="393"/>
      <c r="GM56" s="393"/>
      <c r="GN56" s="393"/>
      <c r="GO56" s="393"/>
      <c r="GP56" s="393"/>
      <c r="GQ56" s="393"/>
      <c r="GR56" s="393"/>
      <c r="GS56" s="393"/>
      <c r="GT56" s="393"/>
      <c r="GU56" s="393"/>
      <c r="GV56" s="393"/>
      <c r="GW56" s="393"/>
      <c r="GX56" s="393"/>
      <c r="GY56" s="393"/>
      <c r="GZ56" s="393"/>
      <c r="HA56" s="393"/>
      <c r="HB56" s="393"/>
      <c r="HC56" s="393"/>
      <c r="HD56" s="393"/>
      <c r="HE56" s="393"/>
      <c r="HF56" s="393"/>
      <c r="HG56" s="393"/>
      <c r="HH56" s="393"/>
      <c r="HI56" s="393"/>
      <c r="HJ56" s="393"/>
      <c r="HK56" s="393"/>
      <c r="HL56" s="393"/>
      <c r="HM56" s="393"/>
      <c r="HN56" s="393"/>
      <c r="HO56" s="393"/>
      <c r="HP56" s="393"/>
      <c r="HQ56" s="393"/>
      <c r="HR56" s="393"/>
      <c r="HS56" s="393"/>
      <c r="HT56" s="393"/>
      <c r="HU56" s="393"/>
      <c r="HV56" s="393"/>
      <c r="HW56" s="393"/>
      <c r="HX56" s="393"/>
      <c r="HY56" s="393"/>
      <c r="HZ56" s="393"/>
      <c r="IA56" s="393"/>
      <c r="IB56" s="393"/>
      <c r="IC56" s="393"/>
      <c r="ID56" s="393"/>
      <c r="IE56" s="393"/>
      <c r="IF56" s="393"/>
      <c r="IG56" s="393"/>
      <c r="IH56" s="393"/>
      <c r="II56" s="393"/>
      <c r="IJ56" s="393"/>
      <c r="IK56" s="393"/>
      <c r="IL56" s="393"/>
      <c r="IM56" s="393"/>
      <c r="IN56" s="393"/>
      <c r="IO56" s="393"/>
      <c r="IP56" s="393"/>
      <c r="IQ56" s="393"/>
      <c r="IR56" s="393"/>
      <c r="IS56" s="393"/>
      <c r="IT56" s="393"/>
      <c r="IU56" s="393"/>
      <c r="IV56" s="393"/>
      <c r="IW56" s="393"/>
    </row>
    <row r="57" customFormat="false" ht="12.75" hidden="false" customHeight="false" outlineLevel="0" collapsed="false">
      <c r="A57" s="394"/>
      <c r="B57" s="389" t="s">
        <v>402</v>
      </c>
      <c r="C57" s="434"/>
      <c r="D57" s="435"/>
      <c r="E57" s="412" t="n">
        <f aca="false">-SUM(E54:E56)*USTax</f>
        <v>-0</v>
      </c>
      <c r="F57" s="412" t="n">
        <f aca="false">-SUM(F54:F56)*USTax</f>
        <v>-25.2561919363171</v>
      </c>
      <c r="G57" s="412" t="n">
        <f aca="false">-SUM(G54:G56)*USTax</f>
        <v>-225.425920910484</v>
      </c>
      <c r="H57" s="412" t="n">
        <f aca="false">-SUM(H54:H56)*USTax</f>
        <v>-0</v>
      </c>
      <c r="I57" s="412" t="n">
        <f aca="false">-SUM(I54:I56)*USTax</f>
        <v>-0</v>
      </c>
      <c r="J57" s="412" t="n">
        <f aca="false">-SUM(J54:J56)*USTax</f>
        <v>-0</v>
      </c>
      <c r="K57" s="412" t="n">
        <f aca="false">-SUM(K54:K56)*USTax</f>
        <v>-0</v>
      </c>
      <c r="L57" s="412" t="n">
        <f aca="false">-SUM(L54:L56)*USTax</f>
        <v>-0</v>
      </c>
      <c r="M57" s="412" t="n">
        <f aca="false">-SUM(M54:M56)*USTax</f>
        <v>-0</v>
      </c>
      <c r="N57" s="412" t="n">
        <f aca="false">-SUM(N54:N56)*USTax</f>
        <v>-0</v>
      </c>
      <c r="O57" s="412" t="n">
        <f aca="false">-SUM(O54:O56)*USTax</f>
        <v>-0</v>
      </c>
      <c r="P57" s="412" t="n">
        <f aca="false">-SUM(P54:P56)*USTax</f>
        <v>-0</v>
      </c>
      <c r="Q57" s="412" t="n">
        <f aca="false">-SUM(Q54:Q56)*USTax</f>
        <v>-0</v>
      </c>
      <c r="R57" s="412" t="n">
        <f aca="false">-SUM(R54:R56)*USTax</f>
        <v>-0</v>
      </c>
      <c r="S57" s="412" t="n">
        <f aca="false">-SUM(S54:S56)*USTax</f>
        <v>-0</v>
      </c>
      <c r="T57" s="412" t="n">
        <f aca="false">-SUM(T54:T56)*USTax</f>
        <v>-0</v>
      </c>
      <c r="U57" s="412" t="n">
        <f aca="false">-SUM(U54:U56)*USTax</f>
        <v>-0</v>
      </c>
      <c r="V57" s="412" t="n">
        <f aca="false">-SUM(V54:V56)*USTax</f>
        <v>-0</v>
      </c>
      <c r="W57" s="412" t="n">
        <f aca="false">-SUM(W54:W56)*USTax</f>
        <v>-0</v>
      </c>
      <c r="X57" s="412" t="n">
        <f aca="false">-SUM(X54:X56)*USTax</f>
        <v>-0</v>
      </c>
      <c r="Y57" s="412" t="n">
        <f aca="false">-SUM(Y54:Y56)*USTax</f>
        <v>-0</v>
      </c>
      <c r="Z57" s="412" t="n">
        <f aca="false">-SUM(Z54:Z56)*USTax</f>
        <v>-0</v>
      </c>
      <c r="AA57" s="413" t="n">
        <f aca="false">SUM(D57:Z57)</f>
        <v>-250.682112846801</v>
      </c>
      <c r="AB57" s="413" t="n">
        <f aca="false">$E57+NPV(Disc,$F57:Z57)</f>
        <v>-180.411545310855</v>
      </c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  <c r="AU57" s="393"/>
      <c r="AV57" s="393"/>
      <c r="AW57" s="393"/>
      <c r="AX57" s="393"/>
      <c r="AY57" s="393"/>
      <c r="AZ57" s="393"/>
      <c r="BA57" s="393"/>
      <c r="BB57" s="393"/>
      <c r="BC57" s="393"/>
      <c r="BD57" s="393"/>
      <c r="BE57" s="393"/>
      <c r="BF57" s="393"/>
      <c r="BG57" s="393"/>
      <c r="BH57" s="393"/>
      <c r="BI57" s="393"/>
      <c r="BJ57" s="393"/>
      <c r="BK57" s="393"/>
      <c r="BL57" s="393"/>
      <c r="BM57" s="393"/>
      <c r="BN57" s="393"/>
      <c r="BO57" s="393"/>
      <c r="BP57" s="393"/>
      <c r="BQ57" s="393"/>
      <c r="BR57" s="393"/>
      <c r="BS57" s="393"/>
      <c r="BT57" s="393"/>
      <c r="BU57" s="393"/>
      <c r="BV57" s="393"/>
      <c r="BW57" s="393"/>
      <c r="BX57" s="393"/>
      <c r="BY57" s="393"/>
      <c r="BZ57" s="393"/>
      <c r="CA57" s="393"/>
      <c r="CB57" s="393"/>
      <c r="CC57" s="393"/>
      <c r="CD57" s="393"/>
      <c r="CE57" s="393"/>
      <c r="CF57" s="393"/>
      <c r="CG57" s="393"/>
      <c r="CH57" s="393"/>
      <c r="CI57" s="393"/>
      <c r="CJ57" s="393"/>
      <c r="CK57" s="393"/>
      <c r="CL57" s="393"/>
      <c r="CM57" s="393"/>
      <c r="CN57" s="393"/>
      <c r="CO57" s="393"/>
      <c r="CP57" s="393"/>
      <c r="CQ57" s="393"/>
      <c r="CR57" s="393"/>
      <c r="CS57" s="393"/>
      <c r="CT57" s="393"/>
      <c r="CU57" s="393"/>
      <c r="CV57" s="393"/>
      <c r="CW57" s="393"/>
      <c r="CX57" s="393"/>
      <c r="CY57" s="393"/>
      <c r="CZ57" s="393"/>
      <c r="DA57" s="393"/>
      <c r="DB57" s="393"/>
      <c r="DC57" s="393"/>
      <c r="DD57" s="393"/>
      <c r="DE57" s="393"/>
      <c r="DF57" s="393"/>
      <c r="DG57" s="393"/>
      <c r="DH57" s="393"/>
      <c r="DI57" s="393"/>
      <c r="DJ57" s="393"/>
      <c r="DK57" s="393"/>
      <c r="DL57" s="393"/>
      <c r="DM57" s="393"/>
      <c r="DN57" s="393"/>
      <c r="DO57" s="393"/>
      <c r="DP57" s="393"/>
      <c r="DQ57" s="393"/>
      <c r="DR57" s="393"/>
      <c r="DS57" s="393"/>
      <c r="DT57" s="393"/>
      <c r="DU57" s="393"/>
      <c r="DV57" s="393"/>
      <c r="DW57" s="393"/>
      <c r="DX57" s="393"/>
      <c r="DY57" s="393"/>
      <c r="DZ57" s="393"/>
      <c r="EA57" s="393"/>
      <c r="EB57" s="393"/>
      <c r="EC57" s="393"/>
      <c r="ED57" s="393"/>
      <c r="EE57" s="393"/>
      <c r="EF57" s="393"/>
      <c r="EG57" s="393"/>
      <c r="EH57" s="393"/>
      <c r="EI57" s="393"/>
      <c r="EJ57" s="393"/>
      <c r="EK57" s="393"/>
      <c r="EL57" s="393"/>
      <c r="EM57" s="393"/>
      <c r="EN57" s="393"/>
      <c r="EO57" s="393"/>
      <c r="EP57" s="393"/>
      <c r="EQ57" s="393"/>
      <c r="ER57" s="393"/>
      <c r="ES57" s="393"/>
      <c r="ET57" s="393"/>
      <c r="EU57" s="393"/>
      <c r="EV57" s="393"/>
      <c r="EW57" s="393"/>
      <c r="EX57" s="393"/>
      <c r="EY57" s="393"/>
      <c r="EZ57" s="393"/>
      <c r="FA57" s="393"/>
      <c r="FB57" s="393"/>
      <c r="FC57" s="393"/>
      <c r="FD57" s="393"/>
      <c r="FE57" s="393"/>
      <c r="FF57" s="393"/>
      <c r="FG57" s="393"/>
      <c r="FH57" s="393"/>
      <c r="FI57" s="393"/>
      <c r="FJ57" s="393"/>
      <c r="FK57" s="393"/>
      <c r="FL57" s="393"/>
      <c r="FM57" s="393"/>
      <c r="FN57" s="393"/>
      <c r="FO57" s="393"/>
      <c r="FP57" s="393"/>
      <c r="FQ57" s="393"/>
      <c r="FR57" s="393"/>
      <c r="FS57" s="393"/>
      <c r="FT57" s="393"/>
      <c r="FU57" s="393"/>
      <c r="FV57" s="393"/>
      <c r="FW57" s="393"/>
      <c r="FX57" s="393"/>
      <c r="FY57" s="393"/>
      <c r="FZ57" s="393"/>
      <c r="GA57" s="393"/>
      <c r="GB57" s="393"/>
      <c r="GC57" s="393"/>
      <c r="GD57" s="393"/>
      <c r="GE57" s="393"/>
      <c r="GF57" s="393"/>
      <c r="GG57" s="393"/>
      <c r="GH57" s="393"/>
      <c r="GI57" s="393"/>
      <c r="GJ57" s="393"/>
      <c r="GK57" s="393"/>
      <c r="GL57" s="393"/>
      <c r="GM57" s="393"/>
      <c r="GN57" s="393"/>
      <c r="GO57" s="393"/>
      <c r="GP57" s="393"/>
      <c r="GQ57" s="393"/>
      <c r="GR57" s="393"/>
      <c r="GS57" s="393"/>
      <c r="GT57" s="393"/>
      <c r="GU57" s="393"/>
      <c r="GV57" s="393"/>
      <c r="GW57" s="393"/>
      <c r="GX57" s="393"/>
      <c r="GY57" s="393"/>
      <c r="GZ57" s="393"/>
      <c r="HA57" s="393"/>
      <c r="HB57" s="393"/>
      <c r="HC57" s="393"/>
      <c r="HD57" s="393"/>
      <c r="HE57" s="393"/>
      <c r="HF57" s="393"/>
      <c r="HG57" s="393"/>
      <c r="HH57" s="393"/>
      <c r="HI57" s="393"/>
      <c r="HJ57" s="393"/>
      <c r="HK57" s="393"/>
      <c r="HL57" s="393"/>
      <c r="HM57" s="393"/>
      <c r="HN57" s="393"/>
      <c r="HO57" s="393"/>
      <c r="HP57" s="393"/>
      <c r="HQ57" s="393"/>
      <c r="HR57" s="393"/>
      <c r="HS57" s="393"/>
      <c r="HT57" s="393"/>
      <c r="HU57" s="393"/>
      <c r="HV57" s="393"/>
      <c r="HW57" s="393"/>
      <c r="HX57" s="393"/>
      <c r="HY57" s="393"/>
      <c r="HZ57" s="393"/>
      <c r="IA57" s="393"/>
      <c r="IB57" s="393"/>
      <c r="IC57" s="393"/>
      <c r="ID57" s="393"/>
      <c r="IE57" s="393"/>
      <c r="IF57" s="393"/>
      <c r="IG57" s="393"/>
      <c r="IH57" s="393"/>
      <c r="II57" s="393"/>
      <c r="IJ57" s="393"/>
      <c r="IK57" s="393"/>
      <c r="IL57" s="393"/>
      <c r="IM57" s="393"/>
      <c r="IN57" s="393"/>
      <c r="IO57" s="393"/>
      <c r="IP57" s="393"/>
      <c r="IQ57" s="393"/>
      <c r="IR57" s="393"/>
      <c r="IS57" s="393"/>
      <c r="IT57" s="393"/>
      <c r="IU57" s="393"/>
      <c r="IV57" s="393"/>
      <c r="IW57" s="393"/>
    </row>
    <row r="58" customFormat="false" ht="12.75" hidden="false" customHeight="false" outlineLevel="0" collapsed="false">
      <c r="A58" s="138"/>
      <c r="B58" s="39" t="s">
        <v>403</v>
      </c>
      <c r="C58" s="38"/>
      <c r="D58" s="425"/>
      <c r="E58" s="61" t="n">
        <f aca="false">SUM(E51:E57)</f>
        <v>-2801.42016208755</v>
      </c>
      <c r="F58" s="61" t="n">
        <f aca="false">SUM(F51:F57)</f>
        <v>-22830.7404208247</v>
      </c>
      <c r="G58" s="61" t="n">
        <f aca="false">SUM(G51:G57)</f>
        <v>13937.5275822471</v>
      </c>
      <c r="H58" s="61" t="n">
        <f aca="false">SUM(H51:H57)</f>
        <v>-477.659182296501</v>
      </c>
      <c r="I58" s="61" t="n">
        <f aca="false">SUM(I51:I57)</f>
        <v>-2578.76620155304</v>
      </c>
      <c r="J58" s="61" t="n">
        <f aca="false">SUM(J51:J57)</f>
        <v>-3104.55276765755</v>
      </c>
      <c r="K58" s="61" t="n">
        <f aca="false">SUM(K51:K57)</f>
        <v>-2460.32522699865</v>
      </c>
      <c r="L58" s="61" t="n">
        <f aca="false">SUM(L51:L57)</f>
        <v>-2538.5686552034</v>
      </c>
      <c r="M58" s="61" t="n">
        <f aca="false">SUM(M51:M57)</f>
        <v>-2473.87971619591</v>
      </c>
      <c r="N58" s="61" t="n">
        <f aca="false">SUM(N51:N57)</f>
        <v>-2191.67814923169</v>
      </c>
      <c r="O58" s="61" t="n">
        <f aca="false">SUM(O51:O57)</f>
        <v>-718.895584391286</v>
      </c>
      <c r="P58" s="61" t="n">
        <f aca="false">SUM(P51:P57)</f>
        <v>741.669739257443</v>
      </c>
      <c r="Q58" s="61" t="n">
        <f aca="false">SUM(Q51:Q57)</f>
        <v>1134.21475183755</v>
      </c>
      <c r="R58" s="61" t="n">
        <f aca="false">SUM(R51:R57)</f>
        <v>1056.79806418542</v>
      </c>
      <c r="S58" s="61" t="n">
        <f aca="false">SUM(S51:S57)</f>
        <v>977.89133287103</v>
      </c>
      <c r="T58" s="61" t="n">
        <f aca="false">SUM(T51:T57)</f>
        <v>2750.95531884383</v>
      </c>
      <c r="U58" s="61" t="n">
        <f aca="false">SUM(U51:U57)</f>
        <v>3494.55924338788</v>
      </c>
      <c r="V58" s="61" t="n">
        <f aca="false">SUM(V51:V57)</f>
        <v>4943.41902295288</v>
      </c>
      <c r="W58" s="61" t="n">
        <f aca="false">SUM(W51:W57)</f>
        <v>7708.38084705591</v>
      </c>
      <c r="X58" s="61" t="n">
        <f aca="false">SUM(X51:X57)</f>
        <v>7997.02319459783</v>
      </c>
      <c r="Y58" s="61" t="n">
        <f aca="false">SUM(Y51:Y57)</f>
        <v>8120.0102851164</v>
      </c>
      <c r="Z58" s="61" t="n">
        <f aca="false">SUM(Z51:Z57)</f>
        <v>98381.2423929742</v>
      </c>
      <c r="AA58" s="304" t="n">
        <f aca="false">SUM(D58:Z58)</f>
        <v>109067.205708887</v>
      </c>
      <c r="AB58" s="304" t="n">
        <f aca="false">SUM(AB51:AB57)</f>
        <v>-13071.75821692</v>
      </c>
    </row>
    <row r="59" customFormat="false" ht="12.75" hidden="false" customHeight="false" outlineLevel="0" collapsed="false">
      <c r="A59" s="138"/>
      <c r="B59" s="39" t="s">
        <v>375</v>
      </c>
      <c r="C59" s="38"/>
      <c r="D59" s="425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298"/>
      <c r="AB59" s="298"/>
    </row>
    <row r="60" customFormat="false" ht="12.75" hidden="false" customHeight="false" outlineLevel="0" collapsed="false">
      <c r="A60" s="138"/>
      <c r="B60" s="39" t="s">
        <v>379</v>
      </c>
      <c r="C60" s="38"/>
      <c r="D60" s="425"/>
      <c r="E60" s="61" t="n">
        <f aca="false">$E58</f>
        <v>-2801.42016208755</v>
      </c>
      <c r="F60" s="61" t="n">
        <f aca="false">$E58+NPV(Disc,$F58:F58)</f>
        <v>-21986.9163140411</v>
      </c>
      <c r="G60" s="61" t="n">
        <f aca="false">$E58+NPV(Disc,$F58:G58)</f>
        <v>-12144.7246734457</v>
      </c>
      <c r="H60" s="61" t="n">
        <f aca="false">$E58+NPV(Disc,$F58:H58)</f>
        <v>-12428.1751860065</v>
      </c>
      <c r="I60" s="61" t="n">
        <f aca="false">$E58+NPV(Disc,$F58:I58)</f>
        <v>-13714.1253079079</v>
      </c>
      <c r="J60" s="61" t="n">
        <f aca="false">$E58+NPV(Disc,$F58:J58)</f>
        <v>-15015.0861922169</v>
      </c>
      <c r="K60" s="61" t="n">
        <f aca="false">$E58+NPV(Disc,$F58:K58)</f>
        <v>-15881.4708465526</v>
      </c>
      <c r="L60" s="61" t="n">
        <f aca="false">$E58+NPV(Disc,$F58:L58)</f>
        <v>-16632.6788106993</v>
      </c>
      <c r="M60" s="61" t="n">
        <f aca="false">$E58+NPV(Disc,$F58:M58)</f>
        <v>-17247.8597751251</v>
      </c>
      <c r="N60" s="61" t="n">
        <f aca="false">$E58+NPV(Disc,$F58:N58)</f>
        <v>-17705.8478028558</v>
      </c>
      <c r="O60" s="61" t="n">
        <f aca="false">$E58+NPV(Disc,$F58:O58)</f>
        <v>-17832.0875750515</v>
      </c>
      <c r="P60" s="61" t="n">
        <f aca="false">$E58+NPV(Disc,$F58:P58)</f>
        <v>-17722.6430642236</v>
      </c>
      <c r="Q60" s="61" t="n">
        <f aca="false">$E58+NPV(Disc,$F58:Q58)</f>
        <v>-17581.9956491416</v>
      </c>
      <c r="R60" s="61" t="n">
        <f aca="false">$E58+NPV(Disc,$F58:R58)</f>
        <v>-17471.8717675021</v>
      </c>
      <c r="S60" s="61" t="n">
        <f aca="false">$E58+NPV(Disc,$F58:S58)</f>
        <v>-17386.2403491568</v>
      </c>
      <c r="T60" s="61" t="n">
        <f aca="false">$E58+NPV(Disc,$F58:T58)</f>
        <v>-17183.8083725436</v>
      </c>
      <c r="U60" s="61" t="n">
        <f aca="false">$E58+NPV(Disc,$F58:U58)</f>
        <v>-16967.7152101401</v>
      </c>
      <c r="V60" s="61" t="n">
        <f aca="false">$E58+NPV(Disc,$F58:V58)</f>
        <v>-16710.835926882</v>
      </c>
      <c r="W60" s="61" t="n">
        <f aca="false">$E58+NPV(Disc,$F58:W58)</f>
        <v>-16374.2330228</v>
      </c>
      <c r="X60" s="61" t="n">
        <f aca="false">$E58+NPV(Disc,$F58:X58)</f>
        <v>-16080.7816880718</v>
      </c>
      <c r="Y60" s="61" t="n">
        <f aca="false">$E58+NPV(Disc,$F58:Y58)</f>
        <v>-15830.3914739883</v>
      </c>
      <c r="Z60" s="61" t="n">
        <f aca="false">$E58+NPV(Disc,$F58:Z58)</f>
        <v>-13281.0611408976</v>
      </c>
      <c r="AA60" s="418"/>
      <c r="AB60" s="298"/>
    </row>
    <row r="61" customFormat="false" ht="12.75" hidden="false" customHeight="false" outlineLevel="0" collapsed="false">
      <c r="A61" s="138"/>
      <c r="B61" s="39" t="s">
        <v>380</v>
      </c>
      <c r="C61" s="38"/>
      <c r="D61" s="425"/>
      <c r="E61" s="107" t="e">
        <f aca="false">IRR($E58:E58,-0.9)</f>
        <v>#N/A</v>
      </c>
      <c r="F61" s="107" t="e">
        <f aca="false">IRR($E58:F58,-0.9)</f>
        <v>#N/A</v>
      </c>
      <c r="G61" s="107" t="n">
        <f aca="false">IRR($E58:G58,-0.9)</f>
        <v>-0.429468830678816</v>
      </c>
      <c r="H61" s="107" t="n">
        <f aca="false">IRR($E58:H58,-0.9)</f>
        <v>-0.463823818213733</v>
      </c>
      <c r="I61" s="107" t="e">
        <f aca="false">IRR($E58:I58,-0.9)</f>
        <v>#N/A</v>
      </c>
      <c r="J61" s="107" t="e">
        <f aca="false">IRR($E58:J58,-0.9)</f>
        <v>#N/A</v>
      </c>
      <c r="K61" s="107" t="e">
        <f aca="false">IRR($E58:K58,-0.9)</f>
        <v>#N/A</v>
      </c>
      <c r="L61" s="107" t="e">
        <f aca="false">IRR($E58:L58,-0.9)</f>
        <v>#N/A</v>
      </c>
      <c r="M61" s="107" t="e">
        <f aca="false">IRR($E58:M58,-0.9)</f>
        <v>#N/A</v>
      </c>
      <c r="N61" s="107" t="e">
        <f aca="false">IRR($E58:N58,-0.9)</f>
        <v>#N/A</v>
      </c>
      <c r="O61" s="107" t="e">
        <f aca="false">IRR($E58:O58,-0.9)</f>
        <v>#N/A</v>
      </c>
      <c r="P61" s="107" t="e">
        <f aca="false">IRR($E58:P58,-0.9)</f>
        <v>#N/A</v>
      </c>
      <c r="Q61" s="107" t="e">
        <f aca="false">IRR($E58:Q58,-0.9)</f>
        <v>#N/A</v>
      </c>
      <c r="R61" s="107" t="e">
        <f aca="false">IRR($E58:R58,-0.9)</f>
        <v>#N/A</v>
      </c>
      <c r="S61" s="107" t="e">
        <f aca="false">IRR($E58:S58,-0.9)</f>
        <v>#N/A</v>
      </c>
      <c r="T61" s="107" t="e">
        <f aca="false">IRR($E58:T58,-0.9)</f>
        <v>#N/A</v>
      </c>
      <c r="U61" s="107" t="e">
        <f aca="false">IRR($E58:U58,-0.9)</f>
        <v>#N/A</v>
      </c>
      <c r="V61" s="107" t="e">
        <f aca="false">IRR($E58:V58,-0.9)</f>
        <v>#N/A</v>
      </c>
      <c r="W61" s="107" t="e">
        <f aca="false">IRR($E58:W58,-0.9)</f>
        <v>#N/A</v>
      </c>
      <c r="X61" s="107" t="e">
        <f aca="false">IRR($E58:X58,-0.9)</f>
        <v>#N/A</v>
      </c>
      <c r="Y61" s="107" t="e">
        <f aca="false">IRR($E58:Y58,-0.9)</f>
        <v>#N/A</v>
      </c>
      <c r="Z61" s="107" t="e">
        <f aca="false">IRR($E58:Z58,-0.9)</f>
        <v>#N/A</v>
      </c>
      <c r="AA61" s="298"/>
      <c r="AB61" s="371" t="e">
        <f aca="false">IRR($E58:Z58,-0.9)</f>
        <v>#N/A</v>
      </c>
    </row>
    <row r="62" customFormat="false" ht="12.75" hidden="false" customHeight="false" outlineLevel="0" collapsed="false">
      <c r="A62" s="138"/>
      <c r="B62" s="38"/>
      <c r="C62" s="38"/>
      <c r="D62" s="425"/>
      <c r="E62" s="426"/>
      <c r="F62" s="426"/>
      <c r="G62" s="426"/>
      <c r="H62" s="426"/>
      <c r="I62" s="426"/>
      <c r="J62" s="426"/>
      <c r="K62" s="426"/>
      <c r="L62" s="426"/>
      <c r="M62" s="426"/>
      <c r="N62" s="426"/>
      <c r="O62" s="426"/>
      <c r="P62" s="426"/>
      <c r="Q62" s="426"/>
      <c r="R62" s="426"/>
      <c r="S62" s="426"/>
      <c r="T62" s="426"/>
      <c r="U62" s="426"/>
      <c r="V62" s="426"/>
      <c r="W62" s="426"/>
      <c r="X62" s="426"/>
      <c r="Y62" s="426"/>
      <c r="Z62" s="426"/>
      <c r="AA62" s="298"/>
      <c r="AB62" s="298"/>
    </row>
    <row r="63" customFormat="false" ht="12.75" hidden="false" customHeight="false" outlineLevel="0" collapsed="false">
      <c r="A63" s="138"/>
      <c r="B63" s="374" t="str">
        <f aca="false">CONCATENATE("Enron NPV (w/ Bridge Loan) @ ",TEXT(Disc,"0.0%"))</f>
        <v>Enron NPV (w/ Bridge Loan) @ 19.0%</v>
      </c>
      <c r="C63" s="375" t="n">
        <f aca="false">AB58</f>
        <v>-13071.75821692</v>
      </c>
      <c r="D63" s="39"/>
      <c r="E63" s="426"/>
      <c r="F63" s="426"/>
      <c r="G63" s="426"/>
      <c r="H63" s="426"/>
      <c r="I63" s="426"/>
      <c r="J63" s="426"/>
      <c r="K63" s="426"/>
      <c r="L63" s="426"/>
      <c r="M63" s="426"/>
      <c r="N63" s="426"/>
      <c r="O63" s="426"/>
      <c r="P63" s="426"/>
      <c r="Q63" s="426"/>
      <c r="R63" s="426"/>
      <c r="S63" s="426"/>
      <c r="T63" s="426"/>
      <c r="U63" s="426"/>
      <c r="V63" s="426"/>
      <c r="W63" s="426"/>
      <c r="X63" s="426"/>
      <c r="Y63" s="426"/>
      <c r="Z63" s="426"/>
      <c r="AA63" s="298"/>
      <c r="AB63" s="298"/>
    </row>
    <row r="64" customFormat="false" ht="12.75" hidden="false" customHeight="false" outlineLevel="0" collapsed="false">
      <c r="A64" s="138"/>
      <c r="B64" s="376" t="s">
        <v>404</v>
      </c>
      <c r="C64" s="436" t="e">
        <f aca="false">AB61</f>
        <v>#N/A</v>
      </c>
      <c r="D64" s="426"/>
      <c r="E64" s="426"/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/>
      <c r="V64" s="426"/>
      <c r="W64" s="426"/>
      <c r="X64" s="426"/>
      <c r="Y64" s="426"/>
      <c r="Z64" s="426"/>
      <c r="AA64" s="298"/>
      <c r="AB64" s="298"/>
    </row>
    <row r="65" customFormat="false" ht="12.75" hidden="false" customHeight="false" outlineLevel="0" collapsed="false">
      <c r="A65" s="420"/>
      <c r="B65" s="421" t="s">
        <v>395</v>
      </c>
      <c r="C65" s="422" t="n">
        <f aca="false">MAX(E65:Z65)</f>
        <v>0</v>
      </c>
      <c r="D65" s="423"/>
      <c r="E65" s="423" t="n">
        <f aca="false">IF(AND(D60&lt;0,E60&gt;0),E$6,0)</f>
        <v>0</v>
      </c>
      <c r="F65" s="423" t="n">
        <f aca="false">IF(AND(E60&lt;0,F60&gt;0),F$6,0)</f>
        <v>0</v>
      </c>
      <c r="G65" s="423" t="n">
        <f aca="false">IF(AND(F60&lt;0,G60&gt;0),G$6,0)</f>
        <v>0</v>
      </c>
      <c r="H65" s="423" t="n">
        <f aca="false">IF(AND(G60&lt;0,H60&gt;0),H$6,0)</f>
        <v>0</v>
      </c>
      <c r="I65" s="423" t="n">
        <f aca="false">IF(AND(H60&lt;0,I60&gt;0),I$6,0)</f>
        <v>0</v>
      </c>
      <c r="J65" s="423" t="n">
        <f aca="false">IF(AND(I60&lt;0,J60&gt;0),J$6,0)</f>
        <v>0</v>
      </c>
      <c r="K65" s="423" t="n">
        <f aca="false">IF(AND(J60&lt;0,K60&gt;0),K$6,0)</f>
        <v>0</v>
      </c>
      <c r="L65" s="423" t="n">
        <f aca="false">IF(AND(K60&lt;0,L60&gt;0),L$6,0)</f>
        <v>0</v>
      </c>
      <c r="M65" s="423" t="n">
        <f aca="false">IF(AND(L60&lt;0,M60&gt;0),M$6,0)</f>
        <v>0</v>
      </c>
      <c r="N65" s="423" t="n">
        <f aca="false">IF(AND(M60&lt;0,N60&gt;0),N$6,0)</f>
        <v>0</v>
      </c>
      <c r="O65" s="423" t="n">
        <f aca="false">IF(AND(N60&lt;0,O60&gt;0),O$6,0)</f>
        <v>0</v>
      </c>
      <c r="P65" s="423" t="n">
        <f aca="false">IF(AND(O60&lt;0,P60&gt;0),P$6,0)</f>
        <v>0</v>
      </c>
      <c r="Q65" s="423" t="n">
        <f aca="false">IF(AND(P60&lt;0,Q60&gt;0),Q$6,0)</f>
        <v>0</v>
      </c>
      <c r="R65" s="423" t="n">
        <f aca="false">IF(AND(Q60&lt;0,R60&gt;0),R$6,0)</f>
        <v>0</v>
      </c>
      <c r="S65" s="423" t="n">
        <f aca="false">IF(AND(R60&lt;0,S60&gt;0),S$6,0)</f>
        <v>0</v>
      </c>
      <c r="T65" s="423" t="n">
        <f aca="false">IF(AND(S60&lt;0,T60&gt;0),T$6,0)</f>
        <v>0</v>
      </c>
      <c r="U65" s="423" t="n">
        <f aca="false">IF(AND(T60&lt;0,U60&gt;0),U$6,0)</f>
        <v>0</v>
      </c>
      <c r="V65" s="423" t="n">
        <f aca="false">IF(AND(U60&lt;0,V60&gt;0),V$6,0)</f>
        <v>0</v>
      </c>
      <c r="W65" s="423" t="n">
        <f aca="false">IF(AND(V60&lt;0,W60&gt;0),W$6,0)</f>
        <v>0</v>
      </c>
      <c r="X65" s="423" t="n">
        <f aca="false">IF(AND(W60&lt;0,X60&gt;0),X$6,0)</f>
        <v>0</v>
      </c>
      <c r="Y65" s="423" t="n">
        <f aca="false">IF(AND(X60&lt;0,Y60&gt;0),Y$6,0)</f>
        <v>0</v>
      </c>
      <c r="Z65" s="423" t="n">
        <f aca="false">IF(AND(Y60&lt;0,Z60&gt;0),Z$6,0)</f>
        <v>0</v>
      </c>
      <c r="AA65" s="424"/>
      <c r="AB65" s="424"/>
    </row>
    <row r="66" customFormat="false" ht="12.75" hidden="false" customHeight="false" outlineLevel="0" collapsed="false">
      <c r="A66" s="138"/>
      <c r="B66" s="38"/>
      <c r="C66" s="38"/>
      <c r="D66" s="425"/>
      <c r="E66" s="426"/>
      <c r="F66" s="426"/>
      <c r="G66" s="426"/>
      <c r="H66" s="426"/>
      <c r="I66" s="426"/>
      <c r="J66" s="426"/>
      <c r="K66" s="426"/>
      <c r="L66" s="426"/>
      <c r="M66" s="426"/>
      <c r="N66" s="426"/>
      <c r="O66" s="426"/>
      <c r="P66" s="426"/>
      <c r="Q66" s="426"/>
      <c r="R66" s="426"/>
      <c r="S66" s="426"/>
      <c r="T66" s="426"/>
      <c r="U66" s="426"/>
      <c r="V66" s="426"/>
      <c r="W66" s="426"/>
      <c r="X66" s="426"/>
      <c r="Y66" s="426"/>
      <c r="Z66" s="426"/>
      <c r="AA66" s="298"/>
      <c r="AB66" s="298"/>
    </row>
    <row r="67" customFormat="false" ht="12.75" hidden="false" customHeight="false" outlineLevel="0" collapsed="false">
      <c r="A67" s="415"/>
      <c r="B67" s="39" t="s">
        <v>405</v>
      </c>
      <c r="C67" s="39"/>
      <c r="D67" s="364"/>
      <c r="E67" s="61" t="n">
        <f aca="false">E58</f>
        <v>-2801.42016208755</v>
      </c>
      <c r="F67" s="61" t="n">
        <f aca="false">F58</f>
        <v>-22830.7404208247</v>
      </c>
      <c r="G67" s="61" t="n">
        <f aca="false">G58</f>
        <v>13937.5275822471</v>
      </c>
      <c r="H67" s="61" t="n">
        <f aca="false">H58</f>
        <v>-477.659182296501</v>
      </c>
      <c r="I67" s="61" t="n">
        <f aca="false">I58</f>
        <v>-2578.76620155304</v>
      </c>
      <c r="J67" s="61" t="n">
        <f aca="false">J58</f>
        <v>-3104.55276765755</v>
      </c>
      <c r="K67" s="61" t="n">
        <f aca="false">K58</f>
        <v>-2460.32522699865</v>
      </c>
      <c r="L67" s="61" t="n">
        <f aca="false">L58</f>
        <v>-2538.5686552034</v>
      </c>
      <c r="M67" s="61" t="n">
        <f aca="false">M58</f>
        <v>-2473.87971619591</v>
      </c>
      <c r="N67" s="61" t="n">
        <f aca="false">N58</f>
        <v>-2191.67814923169</v>
      </c>
      <c r="O67" s="61" t="n">
        <f aca="false">O58</f>
        <v>-718.895584391286</v>
      </c>
      <c r="P67" s="61" t="n">
        <f aca="false">P58</f>
        <v>741.669739257443</v>
      </c>
      <c r="Q67" s="61" t="n">
        <f aca="false">Q58</f>
        <v>1134.21475183755</v>
      </c>
      <c r="R67" s="61" t="n">
        <f aca="false">R58</f>
        <v>1056.79806418542</v>
      </c>
      <c r="S67" s="61" t="n">
        <f aca="false">S58</f>
        <v>977.89133287103</v>
      </c>
      <c r="T67" s="61" t="n">
        <f aca="false">T58</f>
        <v>2750.95531884383</v>
      </c>
      <c r="U67" s="61" t="n">
        <f aca="false">U58</f>
        <v>3494.55924338788</v>
      </c>
      <c r="V67" s="61" t="n">
        <f aca="false">V58</f>
        <v>4943.41902295288</v>
      </c>
      <c r="W67" s="61" t="n">
        <f aca="false">W58</f>
        <v>7708.38084705591</v>
      </c>
      <c r="X67" s="61" t="n">
        <f aca="false">X58</f>
        <v>7997.02319459783</v>
      </c>
      <c r="Y67" s="61" t="n">
        <f aca="false">Y58</f>
        <v>8120.0102851164</v>
      </c>
      <c r="Z67" s="61" t="n">
        <f aca="false">Z58</f>
        <v>98381.2423929742</v>
      </c>
      <c r="AA67" s="304" t="n">
        <f aca="false">SUM(D67:Z67)</f>
        <v>109067.205708887</v>
      </c>
      <c r="AB67" s="304" t="n">
        <f aca="false">$E67+NPV(Disc,$F67:Z67)</f>
        <v>-13281.0611408976</v>
      </c>
    </row>
    <row r="68" customFormat="false" ht="12.75" hidden="false" customHeight="false" outlineLevel="0" collapsed="false">
      <c r="A68" s="427" t="n">
        <f aca="false">A$26</f>
        <v>0.5</v>
      </c>
      <c r="B68" s="428" t="s">
        <v>406</v>
      </c>
      <c r="C68" s="429"/>
      <c r="D68" s="430"/>
      <c r="E68" s="431" t="n">
        <f aca="false">IF(E$7&lt;YEAR(Startconst),0,-HLOOKUP(DATE(E$7,12,31),Idc_Table,IDC!$AP$46)*$A68-SUM($D68:D68))</f>
        <v>-0</v>
      </c>
      <c r="F68" s="431" t="n">
        <f aca="false">IF(F$7&lt;YEAR(Startconst),0,-HLOOKUP(DATE(F$7,12,31),Idc_Table,IDC!$AP$46)*$A68-SUM($D68:E68))</f>
        <v>-0</v>
      </c>
      <c r="G68" s="431" t="n">
        <f aca="false">IF(G$7&lt;YEAR(Startconst),0,-HLOOKUP(DATE(G$7,12,31),Idc_Table,IDC!$AP$46)*$A68-SUM($D68:F68))</f>
        <v>-10535.3117843587</v>
      </c>
      <c r="H68" s="431" t="n">
        <f aca="false">IF(H$7&lt;YEAR(Startconst),0,-HLOOKUP(DATE(H$7,12,31),Idc_Table,IDC!$AP$46)*$A68-SUM($D68:G68))</f>
        <v>-211.032730763911</v>
      </c>
      <c r="I68" s="431" t="n">
        <f aca="false">IF(I$7&lt;YEAR(Startconst),0,-HLOOKUP(DATE(I$7,12,31),Idc_Table,IDC!$AP$46)*$A68-SUM($D68:H68))</f>
        <v>0</v>
      </c>
      <c r="J68" s="431" t="n">
        <f aca="false">IF(J$7&lt;YEAR(Startconst),0,-HLOOKUP(DATE(J$7,12,31),Idc_Table,IDC!$AP$46)*$A68-SUM($D68:I68))</f>
        <v>0</v>
      </c>
      <c r="K68" s="431" t="n">
        <f aca="false">IF(K$7&lt;YEAR(Startconst),0,-HLOOKUP(DATE(K$7,12,31),Idc_Table,IDC!$AP$46)*$A68-SUM($D68:J68))</f>
        <v>0</v>
      </c>
      <c r="L68" s="431" t="n">
        <f aca="false">IF(L$7&lt;YEAR(Startconst),0,-HLOOKUP(DATE(L$7,12,31),Idc_Table,IDC!$AP$46)*$A68-SUM($D68:K68))</f>
        <v>0</v>
      </c>
      <c r="M68" s="431" t="n">
        <f aca="false">IF(M$7&lt;YEAR(Startconst),0,-HLOOKUP(DATE(M$7,12,31),Idc_Table,IDC!$AP$46)*$A68-SUM($D68:L68))</f>
        <v>0</v>
      </c>
      <c r="N68" s="431" t="n">
        <f aca="false">IF(N$7&lt;YEAR(Startconst),0,-HLOOKUP(DATE(N$7,12,31),Idc_Table,IDC!$AP$46)*$A68-SUM($D68:M68))</f>
        <v>0</v>
      </c>
      <c r="O68" s="431" t="n">
        <f aca="false">IF(O$7&lt;YEAR(Startconst),0,-HLOOKUP(DATE(O$7,12,31),Idc_Table,IDC!$AP$46)*$A68-SUM($D68:N68))</f>
        <v>0</v>
      </c>
      <c r="P68" s="431" t="n">
        <f aca="false">IF(P$7&lt;YEAR(Startconst),0,-HLOOKUP(DATE(P$7,12,31),Idc_Table,IDC!$AP$46)*$A68-SUM($D68:O68))</f>
        <v>0</v>
      </c>
      <c r="Q68" s="431" t="n">
        <f aca="false">IF(Q$7&lt;YEAR(Startconst),0,-HLOOKUP(DATE(Q$7,12,31),Idc_Table,IDC!$AP$46)*$A68-SUM($D68:P68))</f>
        <v>0</v>
      </c>
      <c r="R68" s="431" t="n">
        <f aca="false">IF(R$7&lt;YEAR(Startconst),0,-HLOOKUP(DATE(R$7,12,31),Idc_Table,IDC!$AP$46)*$A68-SUM($D68:Q68))</f>
        <v>0</v>
      </c>
      <c r="S68" s="431" t="n">
        <f aca="false">IF(S$7&lt;YEAR(Startconst),0,-HLOOKUP(DATE(S$7,12,31),Idc_Table,IDC!$AP$46)*$A68-SUM($D68:R68))</f>
        <v>0</v>
      </c>
      <c r="T68" s="431" t="n">
        <f aca="false">IF(T$7&lt;YEAR(Startconst),0,-HLOOKUP(DATE(T$7,12,31),Idc_Table,IDC!$AP$46)*$A68-SUM($D68:S68))</f>
        <v>0</v>
      </c>
      <c r="U68" s="431" t="n">
        <f aca="false">IF(U$7&lt;YEAR(Startconst),0,-HLOOKUP(DATE(U$7,12,31),Idc_Table,IDC!$AP$46)*$A68-SUM($D68:T68))</f>
        <v>0</v>
      </c>
      <c r="V68" s="431" t="n">
        <f aca="false">IF(V$7&lt;YEAR(Startconst),0,-HLOOKUP(DATE(V$7,12,31),Idc_Table,IDC!$AP$46)*$A68-SUM($D68:U68))</f>
        <v>0</v>
      </c>
      <c r="W68" s="431" t="n">
        <f aca="false">IF(W$7&lt;YEAR(Startconst),0,-HLOOKUP(DATE(W$7,12,31),Idc_Table,IDC!$AP$46)*$A68-SUM($D68:V68))</f>
        <v>0</v>
      </c>
      <c r="X68" s="431" t="n">
        <f aca="false">IF(X$7&lt;YEAR(Startconst),0,-HLOOKUP(DATE(X$7,12,31),Idc_Table,IDC!$AP$46)*$A68-SUM($D68:W68))</f>
        <v>0</v>
      </c>
      <c r="Y68" s="431" t="n">
        <f aca="false">IF(Y$7&lt;YEAR(Startconst),0,-HLOOKUP(DATE(Y$7,12,31),Idc_Table,IDC!$AP$46)*$A68-SUM($D68:X68))</f>
        <v>0</v>
      </c>
      <c r="Z68" s="431" t="n">
        <f aca="false">IF(Z$7&lt;YEAR(Startconst),0,-HLOOKUP(DATE(Z$7,12,31),Idc_Table,IDC!$AP$46)*$A68-SUM($D68:Y68))</f>
        <v>0</v>
      </c>
      <c r="AA68" s="432" t="n">
        <f aca="false">SUM(D68:Z68)</f>
        <v>-10746.3445151226</v>
      </c>
      <c r="AB68" s="432" t="n">
        <f aca="false">$E68+NPV(Disc,$F68:Z68)</f>
        <v>-7564.89669767114</v>
      </c>
      <c r="AC68" s="433"/>
      <c r="AD68" s="433"/>
      <c r="AE68" s="433"/>
      <c r="AF68" s="433"/>
      <c r="AG68" s="433"/>
      <c r="AH68" s="433"/>
      <c r="AI68" s="433"/>
      <c r="AJ68" s="433"/>
      <c r="AK68" s="433"/>
      <c r="AL68" s="433"/>
      <c r="AM68" s="433"/>
      <c r="AN68" s="433"/>
      <c r="AO68" s="433"/>
      <c r="AP68" s="433"/>
      <c r="AQ68" s="433"/>
      <c r="AR68" s="433"/>
      <c r="AS68" s="433"/>
      <c r="AT68" s="433"/>
      <c r="AU68" s="433"/>
      <c r="AV68" s="433"/>
      <c r="AW68" s="433"/>
      <c r="AX68" s="433"/>
      <c r="AY68" s="433"/>
      <c r="AZ68" s="433"/>
      <c r="BA68" s="433"/>
      <c r="BB68" s="433"/>
      <c r="BC68" s="433"/>
      <c r="BD68" s="433"/>
      <c r="BE68" s="433"/>
      <c r="BF68" s="433"/>
      <c r="BG68" s="433"/>
      <c r="BH68" s="433"/>
      <c r="BI68" s="433"/>
      <c r="BJ68" s="433"/>
      <c r="BK68" s="433"/>
      <c r="BL68" s="433"/>
      <c r="BM68" s="433"/>
      <c r="BN68" s="433"/>
      <c r="BO68" s="433"/>
      <c r="BP68" s="433"/>
      <c r="BQ68" s="433"/>
      <c r="BR68" s="433"/>
      <c r="BS68" s="433"/>
      <c r="BT68" s="433"/>
      <c r="BU68" s="433"/>
      <c r="BV68" s="433"/>
      <c r="BW68" s="433"/>
      <c r="BX68" s="433"/>
      <c r="BY68" s="433"/>
      <c r="BZ68" s="433"/>
      <c r="CA68" s="433"/>
      <c r="CB68" s="433"/>
      <c r="CC68" s="433"/>
      <c r="CD68" s="433"/>
      <c r="CE68" s="433"/>
      <c r="CF68" s="433"/>
      <c r="CG68" s="433"/>
      <c r="CH68" s="433"/>
      <c r="CI68" s="433"/>
      <c r="CJ68" s="433"/>
      <c r="CK68" s="433"/>
      <c r="CL68" s="433"/>
      <c r="CM68" s="433"/>
      <c r="CN68" s="433"/>
      <c r="CO68" s="433"/>
      <c r="CP68" s="433"/>
      <c r="CQ68" s="433"/>
      <c r="CR68" s="433"/>
      <c r="CS68" s="433"/>
      <c r="CT68" s="433"/>
      <c r="CU68" s="433"/>
      <c r="CV68" s="433"/>
      <c r="CW68" s="433"/>
      <c r="CX68" s="433"/>
      <c r="CY68" s="433"/>
      <c r="CZ68" s="433"/>
      <c r="DA68" s="433"/>
      <c r="DB68" s="433"/>
      <c r="DC68" s="433"/>
      <c r="DD68" s="433"/>
      <c r="DE68" s="433"/>
      <c r="DF68" s="433"/>
      <c r="DG68" s="433"/>
      <c r="DH68" s="433"/>
      <c r="DI68" s="433"/>
      <c r="DJ68" s="433"/>
      <c r="DK68" s="433"/>
      <c r="DL68" s="433"/>
      <c r="DM68" s="433"/>
      <c r="DN68" s="433"/>
      <c r="DO68" s="433"/>
      <c r="DP68" s="433"/>
      <c r="DQ68" s="433"/>
      <c r="DR68" s="433"/>
      <c r="DS68" s="433"/>
      <c r="DT68" s="433"/>
      <c r="DU68" s="433"/>
      <c r="DV68" s="433"/>
      <c r="DW68" s="433"/>
      <c r="DX68" s="433"/>
      <c r="DY68" s="433"/>
      <c r="DZ68" s="433"/>
      <c r="EA68" s="433"/>
      <c r="EB68" s="433"/>
      <c r="EC68" s="433"/>
      <c r="ED68" s="433"/>
      <c r="EE68" s="433"/>
      <c r="EF68" s="433"/>
      <c r="EG68" s="433"/>
      <c r="EH68" s="433"/>
      <c r="EI68" s="433"/>
      <c r="EJ68" s="433"/>
      <c r="EK68" s="433"/>
      <c r="EL68" s="433"/>
      <c r="EM68" s="433"/>
      <c r="EN68" s="433"/>
      <c r="EO68" s="433"/>
      <c r="EP68" s="433"/>
      <c r="EQ68" s="433"/>
      <c r="ER68" s="433"/>
      <c r="ES68" s="433"/>
      <c r="ET68" s="433"/>
      <c r="EU68" s="433"/>
      <c r="EV68" s="433"/>
      <c r="EW68" s="433"/>
      <c r="EX68" s="433"/>
      <c r="EY68" s="433"/>
      <c r="EZ68" s="433"/>
      <c r="FA68" s="433"/>
      <c r="FB68" s="433"/>
      <c r="FC68" s="433"/>
      <c r="FD68" s="433"/>
      <c r="FE68" s="433"/>
      <c r="FF68" s="433"/>
      <c r="FG68" s="433"/>
      <c r="FH68" s="433"/>
      <c r="FI68" s="433"/>
      <c r="FJ68" s="433"/>
      <c r="FK68" s="433"/>
      <c r="FL68" s="433"/>
      <c r="FM68" s="433"/>
      <c r="FN68" s="433"/>
      <c r="FO68" s="433"/>
      <c r="FP68" s="433"/>
      <c r="FQ68" s="433"/>
      <c r="FR68" s="433"/>
      <c r="FS68" s="433"/>
      <c r="FT68" s="433"/>
      <c r="FU68" s="433"/>
      <c r="FV68" s="433"/>
      <c r="FW68" s="433"/>
      <c r="FX68" s="433"/>
      <c r="FY68" s="433"/>
      <c r="FZ68" s="433"/>
      <c r="GA68" s="433"/>
      <c r="GB68" s="433"/>
      <c r="GC68" s="433"/>
      <c r="GD68" s="433"/>
      <c r="GE68" s="433"/>
      <c r="GF68" s="433"/>
      <c r="GG68" s="433"/>
      <c r="GH68" s="433"/>
      <c r="GI68" s="433"/>
      <c r="GJ68" s="433"/>
      <c r="GK68" s="433"/>
      <c r="GL68" s="433"/>
      <c r="GM68" s="433"/>
      <c r="GN68" s="433"/>
      <c r="GO68" s="433"/>
      <c r="GP68" s="433"/>
      <c r="GQ68" s="433"/>
      <c r="GR68" s="433"/>
      <c r="GS68" s="433"/>
      <c r="GT68" s="433"/>
      <c r="GU68" s="433"/>
      <c r="GV68" s="433"/>
      <c r="GW68" s="433"/>
      <c r="GX68" s="433"/>
      <c r="GY68" s="433"/>
      <c r="GZ68" s="433"/>
      <c r="HA68" s="433"/>
      <c r="HB68" s="433"/>
      <c r="HC68" s="433"/>
      <c r="HD68" s="433"/>
      <c r="HE68" s="433"/>
      <c r="HF68" s="433"/>
      <c r="HG68" s="433"/>
      <c r="HH68" s="433"/>
      <c r="HI68" s="433"/>
      <c r="HJ68" s="433"/>
      <c r="HK68" s="433"/>
      <c r="HL68" s="433"/>
      <c r="HM68" s="433"/>
      <c r="HN68" s="433"/>
      <c r="HO68" s="433"/>
      <c r="HP68" s="433"/>
      <c r="HQ68" s="433"/>
      <c r="HR68" s="433"/>
      <c r="HS68" s="433"/>
      <c r="HT68" s="433"/>
      <c r="HU68" s="433"/>
      <c r="HV68" s="433"/>
      <c r="HW68" s="433"/>
      <c r="HX68" s="433"/>
      <c r="HY68" s="433"/>
      <c r="HZ68" s="433"/>
      <c r="IA68" s="433"/>
      <c r="IB68" s="433"/>
      <c r="IC68" s="433"/>
      <c r="ID68" s="433"/>
      <c r="IE68" s="433"/>
      <c r="IF68" s="433"/>
      <c r="IG68" s="433"/>
      <c r="IH68" s="433"/>
      <c r="II68" s="433"/>
      <c r="IJ68" s="433"/>
      <c r="IK68" s="433"/>
      <c r="IL68" s="433"/>
      <c r="IM68" s="433"/>
      <c r="IN68" s="433"/>
      <c r="IO68" s="433"/>
      <c r="IP68" s="433"/>
      <c r="IQ68" s="433"/>
      <c r="IR68" s="433"/>
      <c r="IS68" s="433"/>
      <c r="IT68" s="433"/>
      <c r="IU68" s="433"/>
      <c r="IV68" s="433"/>
      <c r="IW68" s="433"/>
    </row>
    <row r="69" customFormat="false" ht="12.75" hidden="false" customHeight="false" outlineLevel="0" collapsed="false">
      <c r="A69" s="437"/>
      <c r="B69" s="438" t="s">
        <v>407</v>
      </c>
      <c r="C69" s="439"/>
      <c r="D69" s="440"/>
      <c r="E69" s="441" t="n">
        <f aca="false">IF(E$7&lt;YEAR(Startops1),0,-HLOOKUP(E$7,CF_Table,CF!$AB$71)*$A$68)</f>
        <v>0</v>
      </c>
      <c r="F69" s="441" t="n">
        <f aca="false">IF(F$7&lt;YEAR(Startops1),0,-HLOOKUP(F$7,CF_Table,CF!$AB$71)*$A$68)</f>
        <v>0</v>
      </c>
      <c r="G69" s="441" t="n">
        <f aca="false">IF(G$7&lt;YEAR(Startops1),0,-HLOOKUP(G$7,CF_Table,CF!$AB$71)*$A$68)</f>
        <v>0</v>
      </c>
      <c r="H69" s="441" t="n">
        <f aca="false">IF(H$7&lt;YEAR(Startops1),0,-HLOOKUP(H$7,CF_Table,CF!$AB$71)*$A$68)</f>
        <v>0</v>
      </c>
      <c r="I69" s="441" t="n">
        <f aca="false">IF(I$7&lt;YEAR(Startops1),0,-HLOOKUP(I$7,CF_Table,CF!$AB$71)*$A$68)</f>
        <v>481.35388418272</v>
      </c>
      <c r="J69" s="441" t="n">
        <f aca="false">IF(J$7&lt;YEAR(Startops1),0,-HLOOKUP(J$7,CF_Table,CF!$AB$71)*$A$68)</f>
        <v>545.963609287146</v>
      </c>
      <c r="K69" s="441" t="n">
        <f aca="false">IF(K$7&lt;YEAR(Startops1),0,-HLOOKUP(K$7,CF_Table,CF!$AB$71)*$A$68)</f>
        <v>619.245574743713</v>
      </c>
      <c r="L69" s="441" t="n">
        <f aca="false">IF(L$7&lt;YEAR(Startops1),0,-HLOOKUP(L$7,CF_Table,CF!$AB$71)*$A$68)</f>
        <v>702.363812013688</v>
      </c>
      <c r="M69" s="441" t="n">
        <f aca="false">IF(M$7&lt;YEAR(Startops1),0,-HLOOKUP(M$7,CF_Table,CF!$AB$71)*$A$68)</f>
        <v>796.638594681225</v>
      </c>
      <c r="N69" s="441" t="n">
        <f aca="false">IF(N$7&lt;YEAR(Startops1),0,-HLOOKUP(N$7,CF_Table,CF!$AB$71)*$A$68)</f>
        <v>903.567410052313</v>
      </c>
      <c r="O69" s="441" t="n">
        <f aca="false">IF(O$7&lt;YEAR(Startops1),0,-HLOOKUP(O$7,CF_Table,CF!$AB$71)*$A$68)</f>
        <v>1024.84874566658</v>
      </c>
      <c r="P69" s="441" t="n">
        <f aca="false">IF(P$7&lt;YEAR(Startops1),0,-HLOOKUP(P$7,CF_Table,CF!$AB$71)*$A$68)</f>
        <v>1162.40906855368</v>
      </c>
      <c r="Q69" s="441" t="n">
        <f aca="false">IF(Q$7&lt;YEAR(Startops1),0,-HLOOKUP(Q$7,CF_Table,CF!$AB$71)*$A$68)</f>
        <v>1318.4334257803</v>
      </c>
      <c r="R69" s="441" t="n">
        <f aca="false">IF(R$7&lt;YEAR(Startops1),0,-HLOOKUP(R$7,CF_Table,CF!$AB$71)*$A$68)</f>
        <v>1495.40015235566</v>
      </c>
      <c r="S69" s="441" t="n">
        <f aca="false">IF(S$7&lt;YEAR(Startops1),0,-HLOOKUP(S$7,CF_Table,CF!$AB$71)*$A$68)</f>
        <v>1696.1202378056</v>
      </c>
      <c r="T69" s="441" t="n">
        <f aca="false">IF(T$7&lt;YEAR(Startops1),0,-HLOOKUP(T$7,CF_Table,CF!$AB$71)*$A$68)</f>
        <v>0</v>
      </c>
      <c r="U69" s="441" t="n">
        <f aca="false">IF(U$7&lt;YEAR(Startops1),0,-HLOOKUP(U$7,CF_Table,CF!$AB$71)*$A$68)</f>
        <v>0</v>
      </c>
      <c r="V69" s="441" t="n">
        <f aca="false">IF(V$7&lt;YEAR(Startops1),0,-HLOOKUP(V$7,CF_Table,CF!$AB$71)*$A$68)</f>
        <v>0</v>
      </c>
      <c r="W69" s="441" t="n">
        <f aca="false">IF(W$7&lt;YEAR(Startops1),0,-HLOOKUP(W$7,CF_Table,CF!$AB$71)*$A$68)</f>
        <v>0</v>
      </c>
      <c r="X69" s="441" t="n">
        <f aca="false">IF(X$7&lt;YEAR(Startops1),0,-HLOOKUP(X$7,CF_Table,CF!$AB$71)*$A$68)</f>
        <v>0</v>
      </c>
      <c r="Y69" s="441" t="n">
        <f aca="false">IF(Y$7&lt;YEAR(Startops1),0,-HLOOKUP(Y$7,CF_Table,CF!$AB$71)*$A$68)</f>
        <v>0</v>
      </c>
      <c r="Z69" s="441" t="n">
        <f aca="false">IF(Z$7&lt;YEAR(Startops1),0,-HLOOKUP(Z$7,CF_Table,CF!$AB$71)*$A$68)</f>
        <v>0</v>
      </c>
      <c r="AA69" s="442" t="n">
        <f aca="false">SUM(D69:Z69)</f>
        <v>10746.3445151226</v>
      </c>
      <c r="AB69" s="442" t="n">
        <f aca="false">$E69+NPV(Disc,$F69:Z69)</f>
        <v>2100.98409834025</v>
      </c>
      <c r="AC69" s="443"/>
      <c r="AD69" s="443"/>
      <c r="AE69" s="443"/>
      <c r="AF69" s="443"/>
      <c r="AG69" s="443"/>
      <c r="AH69" s="443"/>
      <c r="AI69" s="443"/>
      <c r="AJ69" s="443"/>
      <c r="AK69" s="443"/>
      <c r="AL69" s="443"/>
      <c r="AM69" s="443"/>
      <c r="AN69" s="443"/>
      <c r="AO69" s="443"/>
      <c r="AP69" s="443"/>
      <c r="AQ69" s="443"/>
      <c r="AR69" s="443"/>
      <c r="AS69" s="443"/>
      <c r="AT69" s="443"/>
      <c r="AU69" s="443"/>
      <c r="AV69" s="443"/>
      <c r="AW69" s="443"/>
      <c r="AX69" s="443"/>
      <c r="AY69" s="443"/>
      <c r="AZ69" s="443"/>
      <c r="BA69" s="443"/>
      <c r="BB69" s="443"/>
      <c r="BC69" s="443"/>
      <c r="BD69" s="443"/>
      <c r="BE69" s="443"/>
      <c r="BF69" s="443"/>
      <c r="BG69" s="443"/>
      <c r="BH69" s="443"/>
      <c r="BI69" s="443"/>
      <c r="BJ69" s="443"/>
      <c r="BK69" s="443"/>
      <c r="BL69" s="443"/>
      <c r="BM69" s="443"/>
      <c r="BN69" s="443"/>
      <c r="BO69" s="443"/>
      <c r="BP69" s="443"/>
      <c r="BQ69" s="443"/>
      <c r="BR69" s="443"/>
      <c r="BS69" s="443"/>
      <c r="BT69" s="443"/>
      <c r="BU69" s="443"/>
      <c r="BV69" s="443"/>
      <c r="BW69" s="443"/>
      <c r="BX69" s="443"/>
      <c r="BY69" s="443"/>
      <c r="BZ69" s="443"/>
      <c r="CA69" s="443"/>
      <c r="CB69" s="443"/>
      <c r="CC69" s="443"/>
      <c r="CD69" s="443"/>
      <c r="CE69" s="443"/>
      <c r="CF69" s="443"/>
      <c r="CG69" s="443"/>
      <c r="CH69" s="443"/>
      <c r="CI69" s="443"/>
      <c r="CJ69" s="443"/>
      <c r="CK69" s="443"/>
      <c r="CL69" s="443"/>
      <c r="CM69" s="443"/>
      <c r="CN69" s="443"/>
      <c r="CO69" s="443"/>
      <c r="CP69" s="443"/>
      <c r="CQ69" s="443"/>
      <c r="CR69" s="443"/>
      <c r="CS69" s="443"/>
      <c r="CT69" s="443"/>
      <c r="CU69" s="443"/>
      <c r="CV69" s="443"/>
      <c r="CW69" s="443"/>
      <c r="CX69" s="443"/>
      <c r="CY69" s="443"/>
      <c r="CZ69" s="443"/>
      <c r="DA69" s="443"/>
      <c r="DB69" s="443"/>
      <c r="DC69" s="443"/>
      <c r="DD69" s="443"/>
      <c r="DE69" s="443"/>
      <c r="DF69" s="443"/>
      <c r="DG69" s="443"/>
      <c r="DH69" s="443"/>
      <c r="DI69" s="443"/>
      <c r="DJ69" s="443"/>
      <c r="DK69" s="443"/>
      <c r="DL69" s="443"/>
      <c r="DM69" s="443"/>
      <c r="DN69" s="443"/>
      <c r="DO69" s="443"/>
      <c r="DP69" s="443"/>
      <c r="DQ69" s="443"/>
      <c r="DR69" s="443"/>
      <c r="DS69" s="443"/>
      <c r="DT69" s="443"/>
      <c r="DU69" s="443"/>
      <c r="DV69" s="443"/>
      <c r="DW69" s="443"/>
      <c r="DX69" s="443"/>
      <c r="DY69" s="443"/>
      <c r="DZ69" s="443"/>
      <c r="EA69" s="443"/>
      <c r="EB69" s="443"/>
      <c r="EC69" s="443"/>
      <c r="ED69" s="443"/>
      <c r="EE69" s="443"/>
      <c r="EF69" s="443"/>
      <c r="EG69" s="443"/>
      <c r="EH69" s="443"/>
      <c r="EI69" s="443"/>
      <c r="EJ69" s="443"/>
      <c r="EK69" s="443"/>
      <c r="EL69" s="443"/>
      <c r="EM69" s="443"/>
      <c r="EN69" s="443"/>
      <c r="EO69" s="443"/>
      <c r="EP69" s="443"/>
      <c r="EQ69" s="443"/>
      <c r="ER69" s="443"/>
      <c r="ES69" s="443"/>
      <c r="ET69" s="443"/>
      <c r="EU69" s="443"/>
      <c r="EV69" s="443"/>
      <c r="EW69" s="443"/>
      <c r="EX69" s="443"/>
      <c r="EY69" s="443"/>
      <c r="EZ69" s="443"/>
      <c r="FA69" s="443"/>
      <c r="FB69" s="443"/>
      <c r="FC69" s="443"/>
      <c r="FD69" s="443"/>
      <c r="FE69" s="443"/>
      <c r="FF69" s="443"/>
      <c r="FG69" s="443"/>
      <c r="FH69" s="443"/>
      <c r="FI69" s="443"/>
      <c r="FJ69" s="443"/>
      <c r="FK69" s="443"/>
      <c r="FL69" s="443"/>
      <c r="FM69" s="443"/>
      <c r="FN69" s="443"/>
      <c r="FO69" s="443"/>
      <c r="FP69" s="443"/>
      <c r="FQ69" s="443"/>
      <c r="FR69" s="443"/>
      <c r="FS69" s="443"/>
      <c r="FT69" s="443"/>
      <c r="FU69" s="443"/>
      <c r="FV69" s="443"/>
      <c r="FW69" s="443"/>
      <c r="FX69" s="443"/>
      <c r="FY69" s="443"/>
      <c r="FZ69" s="443"/>
      <c r="GA69" s="443"/>
      <c r="GB69" s="443"/>
      <c r="GC69" s="443"/>
      <c r="GD69" s="443"/>
      <c r="GE69" s="443"/>
      <c r="GF69" s="443"/>
      <c r="GG69" s="443"/>
      <c r="GH69" s="443"/>
      <c r="GI69" s="443"/>
      <c r="GJ69" s="443"/>
      <c r="GK69" s="443"/>
      <c r="GL69" s="443"/>
      <c r="GM69" s="443"/>
      <c r="GN69" s="443"/>
      <c r="GO69" s="443"/>
      <c r="GP69" s="443"/>
      <c r="GQ69" s="443"/>
      <c r="GR69" s="443"/>
      <c r="GS69" s="443"/>
      <c r="GT69" s="443"/>
      <c r="GU69" s="443"/>
      <c r="GV69" s="443"/>
      <c r="GW69" s="443"/>
      <c r="GX69" s="443"/>
      <c r="GY69" s="443"/>
      <c r="GZ69" s="443"/>
      <c r="HA69" s="443"/>
      <c r="HB69" s="443"/>
      <c r="HC69" s="443"/>
      <c r="HD69" s="443"/>
      <c r="HE69" s="443"/>
      <c r="HF69" s="443"/>
      <c r="HG69" s="443"/>
      <c r="HH69" s="443"/>
      <c r="HI69" s="443"/>
      <c r="HJ69" s="443"/>
      <c r="HK69" s="443"/>
      <c r="HL69" s="443"/>
      <c r="HM69" s="443"/>
      <c r="HN69" s="443"/>
      <c r="HO69" s="443"/>
      <c r="HP69" s="443"/>
      <c r="HQ69" s="443"/>
      <c r="HR69" s="443"/>
      <c r="HS69" s="443"/>
      <c r="HT69" s="443"/>
      <c r="HU69" s="443"/>
      <c r="HV69" s="443"/>
      <c r="HW69" s="443"/>
      <c r="HX69" s="443"/>
      <c r="HY69" s="443"/>
      <c r="HZ69" s="443"/>
      <c r="IA69" s="443"/>
      <c r="IB69" s="443"/>
      <c r="IC69" s="443"/>
      <c r="ID69" s="443"/>
      <c r="IE69" s="443"/>
      <c r="IF69" s="443"/>
      <c r="IG69" s="443"/>
      <c r="IH69" s="443"/>
      <c r="II69" s="443"/>
      <c r="IJ69" s="443"/>
      <c r="IK69" s="443"/>
      <c r="IL69" s="443"/>
      <c r="IM69" s="443"/>
      <c r="IN69" s="443"/>
      <c r="IO69" s="443"/>
      <c r="IP69" s="443"/>
      <c r="IQ69" s="443"/>
      <c r="IR69" s="443"/>
      <c r="IS69" s="443"/>
      <c r="IT69" s="443"/>
      <c r="IU69" s="443"/>
      <c r="IV69" s="443"/>
      <c r="IW69" s="443"/>
    </row>
    <row r="70" customFormat="false" ht="12.75" hidden="false" customHeight="false" outlineLevel="0" collapsed="false">
      <c r="A70" s="437"/>
      <c r="B70" s="438" t="s">
        <v>408</v>
      </c>
      <c r="C70" s="444" t="s">
        <v>280</v>
      </c>
      <c r="D70" s="440"/>
      <c r="E70" s="441" t="n">
        <f aca="false">IF(E$7&lt;YEAR(Startops1),0,-HLOOKUP(E$7,CF_Table,CF!$AB$48)*$A$68)</f>
        <v>0</v>
      </c>
      <c r="F70" s="441" t="n">
        <f aca="false">IF(F$7&lt;YEAR(Startops1),0,-HLOOKUP(F$7,CF_Table,CF!$AB$48)*$A$68)</f>
        <v>0</v>
      </c>
      <c r="G70" s="441" t="n">
        <f aca="false">IF(G$7&lt;YEAR(Startops1),0,-HLOOKUP(G$7,CF_Table,CF!$AB$48)*$A$68)</f>
        <v>0</v>
      </c>
      <c r="H70" s="441" t="n">
        <f aca="false">IF(H$7&lt;YEAR(Startops1),0,-HLOOKUP(H$7,CF_Table,CF!$AB$48)*$A$68)</f>
        <v>582.09366123581</v>
      </c>
      <c r="I70" s="441" t="n">
        <f aca="false">IF(I$7&lt;YEAR(Startops1),0,-HLOOKUP(I$7,CF_Table,CF!$AB$48)*$A$68)</f>
        <v>1381.87321191903</v>
      </c>
      <c r="J70" s="441" t="n">
        <f aca="false">IF(J$7&lt;YEAR(Startops1),0,-HLOOKUP(J$7,CF_Table,CF!$AB$48)*$A$68)</f>
        <v>1317.2634868146</v>
      </c>
      <c r="K70" s="441" t="n">
        <f aca="false">IF(K$7&lt;YEAR(Startops1),0,-HLOOKUP(K$7,CF_Table,CF!$AB$48)*$A$68)</f>
        <v>1243.98152135804</v>
      </c>
      <c r="L70" s="441" t="n">
        <f aca="false">IF(L$7&lt;YEAR(Startops1),0,-HLOOKUP(L$7,CF_Table,CF!$AB$48)*$A$68)</f>
        <v>1160.86328408806</v>
      </c>
      <c r="M70" s="441" t="n">
        <f aca="false">IF(M$7&lt;YEAR(Startops1),0,-HLOOKUP(M$7,CF_Table,CF!$AB$48)*$A$68)</f>
        <v>1066.58850142052</v>
      </c>
      <c r="N70" s="441" t="n">
        <f aca="false">IF(N$7&lt;YEAR(Startops1),0,-HLOOKUP(N$7,CF_Table,CF!$AB$48)*$A$68)</f>
        <v>959.659686049437</v>
      </c>
      <c r="O70" s="441" t="n">
        <f aca="false">IF(O$7&lt;YEAR(Startops1),0,-HLOOKUP(O$7,CF_Table,CF!$AB$48)*$A$68)</f>
        <v>838.378350435165</v>
      </c>
      <c r="P70" s="441" t="n">
        <f aca="false">IF(P$7&lt;YEAR(Startops1),0,-HLOOKUP(P$7,CF_Table,CF!$AB$48)*$A$68)</f>
        <v>700.818027548067</v>
      </c>
      <c r="Q70" s="441" t="n">
        <f aca="false">IF(Q$7&lt;YEAR(Startops1),0,-HLOOKUP(Q$7,CF_Table,CF!$AB$48)*$A$68)</f>
        <v>544.793670321449</v>
      </c>
      <c r="R70" s="441" t="n">
        <f aca="false">IF(R$7&lt;YEAR(Startops1),0,-HLOOKUP(R$7,CF_Table,CF!$AB$48)*$A$68)</f>
        <v>367.826943746088</v>
      </c>
      <c r="S70" s="441" t="n">
        <f aca="false">IF(S$7&lt;YEAR(Startops1),0,-HLOOKUP(S$7,CF_Table,CF!$AB$48)*$A$68)</f>
        <v>167.10685829615</v>
      </c>
      <c r="T70" s="441" t="n">
        <f aca="false">IF(T$7&lt;YEAR(Startops1),0,-HLOOKUP(T$7,CF_Table,CF!$AB$48)*$A$68)</f>
        <v>0</v>
      </c>
      <c r="U70" s="441" t="n">
        <f aca="false">IF(U$7&lt;YEAR(Startops1),0,-HLOOKUP(U$7,CF_Table,CF!$AB$48)*$A$68)</f>
        <v>0</v>
      </c>
      <c r="V70" s="441" t="n">
        <f aca="false">IF(V$7&lt;YEAR(Startops1),0,-HLOOKUP(V$7,CF_Table,CF!$AB$48)*$A$68)</f>
        <v>0</v>
      </c>
      <c r="W70" s="441" t="n">
        <f aca="false">IF(W$7&lt;YEAR(Startops1),0,-HLOOKUP(W$7,CF_Table,CF!$AB$48)*$A$68)</f>
        <v>0</v>
      </c>
      <c r="X70" s="441" t="n">
        <f aca="false">IF(X$7&lt;YEAR(Startops1),0,-HLOOKUP(X$7,CF_Table,CF!$AB$48)*$A$68)</f>
        <v>0</v>
      </c>
      <c r="Y70" s="441" t="n">
        <f aca="false">IF(Y$7&lt;YEAR(Startops1),0,-HLOOKUP(Y$7,CF_Table,CF!$AB$48)*$A$68)</f>
        <v>0</v>
      </c>
      <c r="Z70" s="441" t="n">
        <f aca="false">IF(Z$7&lt;YEAR(Startops1),0,-HLOOKUP(Z$7,CF_Table,CF!$AB$48)*$A$68)</f>
        <v>0</v>
      </c>
      <c r="AA70" s="442" t="n">
        <f aca="false">SUM(D70:Z70)</f>
        <v>10331.2472032324</v>
      </c>
      <c r="AB70" s="442" t="n">
        <f aca="false">$E70+NPV(Disc,$F70:Z70)</f>
        <v>3205.02074725002</v>
      </c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3"/>
      <c r="AX70" s="443"/>
      <c r="AY70" s="443"/>
      <c r="AZ70" s="443"/>
      <c r="BA70" s="443"/>
      <c r="BB70" s="443"/>
      <c r="BC70" s="443"/>
      <c r="BD70" s="443"/>
      <c r="BE70" s="443"/>
      <c r="BF70" s="443"/>
      <c r="BG70" s="443"/>
      <c r="BH70" s="443"/>
      <c r="BI70" s="443"/>
      <c r="BJ70" s="443"/>
      <c r="BK70" s="443"/>
      <c r="BL70" s="443"/>
      <c r="BM70" s="443"/>
      <c r="BN70" s="443"/>
      <c r="BO70" s="443"/>
      <c r="BP70" s="443"/>
      <c r="BQ70" s="443"/>
      <c r="BR70" s="443"/>
      <c r="BS70" s="443"/>
      <c r="BT70" s="443"/>
      <c r="BU70" s="443"/>
      <c r="BV70" s="443"/>
      <c r="BW70" s="443"/>
      <c r="BX70" s="443"/>
      <c r="BY70" s="443"/>
      <c r="BZ70" s="443"/>
      <c r="CA70" s="443"/>
      <c r="CB70" s="443"/>
      <c r="CC70" s="443"/>
      <c r="CD70" s="443"/>
      <c r="CE70" s="443"/>
      <c r="CF70" s="443"/>
      <c r="CG70" s="443"/>
      <c r="CH70" s="443"/>
      <c r="CI70" s="443"/>
      <c r="CJ70" s="443"/>
      <c r="CK70" s="443"/>
      <c r="CL70" s="443"/>
      <c r="CM70" s="443"/>
      <c r="CN70" s="443"/>
      <c r="CO70" s="443"/>
      <c r="CP70" s="443"/>
      <c r="CQ70" s="443"/>
      <c r="CR70" s="443"/>
      <c r="CS70" s="443"/>
      <c r="CT70" s="443"/>
      <c r="CU70" s="443"/>
      <c r="CV70" s="443"/>
      <c r="CW70" s="443"/>
      <c r="CX70" s="443"/>
      <c r="CY70" s="443"/>
      <c r="CZ70" s="443"/>
      <c r="DA70" s="443"/>
      <c r="DB70" s="443"/>
      <c r="DC70" s="443"/>
      <c r="DD70" s="443"/>
      <c r="DE70" s="443"/>
      <c r="DF70" s="443"/>
      <c r="DG70" s="443"/>
      <c r="DH70" s="443"/>
      <c r="DI70" s="443"/>
      <c r="DJ70" s="443"/>
      <c r="DK70" s="443"/>
      <c r="DL70" s="443"/>
      <c r="DM70" s="443"/>
      <c r="DN70" s="443"/>
      <c r="DO70" s="443"/>
      <c r="DP70" s="443"/>
      <c r="DQ70" s="443"/>
      <c r="DR70" s="443"/>
      <c r="DS70" s="443"/>
      <c r="DT70" s="443"/>
      <c r="DU70" s="443"/>
      <c r="DV70" s="443"/>
      <c r="DW70" s="443"/>
      <c r="DX70" s="443"/>
      <c r="DY70" s="443"/>
      <c r="DZ70" s="443"/>
      <c r="EA70" s="443"/>
      <c r="EB70" s="443"/>
      <c r="EC70" s="443"/>
      <c r="ED70" s="443"/>
      <c r="EE70" s="443"/>
      <c r="EF70" s="443"/>
      <c r="EG70" s="443"/>
      <c r="EH70" s="443"/>
      <c r="EI70" s="443"/>
      <c r="EJ70" s="443"/>
      <c r="EK70" s="443"/>
      <c r="EL70" s="443"/>
      <c r="EM70" s="443"/>
      <c r="EN70" s="443"/>
      <c r="EO70" s="443"/>
      <c r="EP70" s="443"/>
      <c r="EQ70" s="443"/>
      <c r="ER70" s="443"/>
      <c r="ES70" s="443"/>
      <c r="ET70" s="443"/>
      <c r="EU70" s="443"/>
      <c r="EV70" s="443"/>
      <c r="EW70" s="443"/>
      <c r="EX70" s="443"/>
      <c r="EY70" s="443"/>
      <c r="EZ70" s="443"/>
      <c r="FA70" s="443"/>
      <c r="FB70" s="443"/>
      <c r="FC70" s="443"/>
      <c r="FD70" s="443"/>
      <c r="FE70" s="443"/>
      <c r="FF70" s="443"/>
      <c r="FG70" s="443"/>
      <c r="FH70" s="443"/>
      <c r="FI70" s="443"/>
      <c r="FJ70" s="443"/>
      <c r="FK70" s="443"/>
      <c r="FL70" s="443"/>
      <c r="FM70" s="443"/>
      <c r="FN70" s="443"/>
      <c r="FO70" s="443"/>
      <c r="FP70" s="443"/>
      <c r="FQ70" s="443"/>
      <c r="FR70" s="443"/>
      <c r="FS70" s="443"/>
      <c r="FT70" s="443"/>
      <c r="FU70" s="443"/>
      <c r="FV70" s="443"/>
      <c r="FW70" s="443"/>
      <c r="FX70" s="443"/>
      <c r="FY70" s="443"/>
      <c r="FZ70" s="443"/>
      <c r="GA70" s="443"/>
      <c r="GB70" s="443"/>
      <c r="GC70" s="443"/>
      <c r="GD70" s="443"/>
      <c r="GE70" s="443"/>
      <c r="GF70" s="443"/>
      <c r="GG70" s="443"/>
      <c r="GH70" s="443"/>
      <c r="GI70" s="443"/>
      <c r="GJ70" s="443"/>
      <c r="GK70" s="443"/>
      <c r="GL70" s="443"/>
      <c r="GM70" s="443"/>
      <c r="GN70" s="443"/>
      <c r="GO70" s="443"/>
      <c r="GP70" s="443"/>
      <c r="GQ70" s="443"/>
      <c r="GR70" s="443"/>
      <c r="GS70" s="443"/>
      <c r="GT70" s="443"/>
      <c r="GU70" s="443"/>
      <c r="GV70" s="443"/>
      <c r="GW70" s="443"/>
      <c r="GX70" s="443"/>
      <c r="GY70" s="443"/>
      <c r="GZ70" s="443"/>
      <c r="HA70" s="443"/>
      <c r="HB70" s="443"/>
      <c r="HC70" s="443"/>
      <c r="HD70" s="443"/>
      <c r="HE70" s="443"/>
      <c r="HF70" s="443"/>
      <c r="HG70" s="443"/>
      <c r="HH70" s="443"/>
      <c r="HI70" s="443"/>
      <c r="HJ70" s="443"/>
      <c r="HK70" s="443"/>
      <c r="HL70" s="443"/>
      <c r="HM70" s="443"/>
      <c r="HN70" s="443"/>
      <c r="HO70" s="443"/>
      <c r="HP70" s="443"/>
      <c r="HQ70" s="443"/>
      <c r="HR70" s="443"/>
      <c r="HS70" s="443"/>
      <c r="HT70" s="443"/>
      <c r="HU70" s="443"/>
      <c r="HV70" s="443"/>
      <c r="HW70" s="443"/>
      <c r="HX70" s="443"/>
      <c r="HY70" s="443"/>
      <c r="HZ70" s="443"/>
      <c r="IA70" s="443"/>
      <c r="IB70" s="443"/>
      <c r="IC70" s="443"/>
      <c r="ID70" s="443"/>
      <c r="IE70" s="443"/>
      <c r="IF70" s="443"/>
      <c r="IG70" s="443"/>
      <c r="IH70" s="443"/>
      <c r="II70" s="443"/>
      <c r="IJ70" s="443"/>
      <c r="IK70" s="443"/>
      <c r="IL70" s="443"/>
      <c r="IM70" s="443"/>
      <c r="IN70" s="443"/>
      <c r="IO70" s="443"/>
      <c r="IP70" s="443"/>
      <c r="IQ70" s="443"/>
      <c r="IR70" s="443"/>
      <c r="IS70" s="443"/>
      <c r="IT70" s="443"/>
      <c r="IU70" s="443"/>
      <c r="IV70" s="443"/>
      <c r="IW70" s="443"/>
    </row>
    <row r="71" customFormat="false" ht="12.75" hidden="false" customHeight="false" outlineLevel="0" collapsed="false">
      <c r="A71" s="437"/>
      <c r="B71" s="438" t="s">
        <v>409</v>
      </c>
      <c r="C71" s="444" t="s">
        <v>280</v>
      </c>
      <c r="D71" s="440"/>
      <c r="E71" s="441" t="n">
        <f aca="false">Wh_Int*-Returns!E70</f>
        <v>-0</v>
      </c>
      <c r="F71" s="441" t="n">
        <f aca="false">Wh_Int*-Returns!F70</f>
        <v>-0</v>
      </c>
      <c r="G71" s="441" t="n">
        <f aca="false">Wh_Int*-Returns!G70</f>
        <v>-0</v>
      </c>
      <c r="H71" s="441" t="n">
        <f aca="false">Wh_Int*-Returns!H70</f>
        <v>-87.3140491853714</v>
      </c>
      <c r="I71" s="441" t="n">
        <f aca="false">Wh_Int*-Returns!I70</f>
        <v>-207.280981787854</v>
      </c>
      <c r="J71" s="441" t="n">
        <f aca="false">Wh_Int*-Returns!J70</f>
        <v>-197.589523022191</v>
      </c>
      <c r="K71" s="441" t="n">
        <f aca="false">Wh_Int*-Returns!K70</f>
        <v>-186.597228203705</v>
      </c>
      <c r="L71" s="441" t="n">
        <f aca="false">Wh_Int*-Returns!L70</f>
        <v>-174.129492613209</v>
      </c>
      <c r="M71" s="441" t="n">
        <f aca="false">Wh_Int*-Returns!M70</f>
        <v>-159.988275213079</v>
      </c>
      <c r="N71" s="441" t="n">
        <f aca="false">Wh_Int*-Returns!N70</f>
        <v>-143.948952907415</v>
      </c>
      <c r="O71" s="441" t="n">
        <f aca="false">Wh_Int*-Returns!O70</f>
        <v>-125.756752565275</v>
      </c>
      <c r="P71" s="441" t="n">
        <f aca="false">Wh_Int*-Returns!P70</f>
        <v>-105.12270413221</v>
      </c>
      <c r="Q71" s="441" t="n">
        <f aca="false">Wh_Int*-Returns!Q70</f>
        <v>-81.7190505482174</v>
      </c>
      <c r="R71" s="441" t="n">
        <f aca="false">Wh_Int*-Returns!R70</f>
        <v>-55.1740415619133</v>
      </c>
      <c r="S71" s="441" t="n">
        <f aca="false">Wh_Int*-Returns!S70</f>
        <v>-25.0660287444225</v>
      </c>
      <c r="T71" s="441" t="n">
        <f aca="false">Wh_Int*-Returns!T70</f>
        <v>-0</v>
      </c>
      <c r="U71" s="441" t="n">
        <f aca="false">Wh_Int*-Returns!U70</f>
        <v>-0</v>
      </c>
      <c r="V71" s="441" t="n">
        <f aca="false">Wh_Int*-Returns!V70</f>
        <v>-0</v>
      </c>
      <c r="W71" s="441" t="n">
        <f aca="false">Wh_Int*-Returns!W70</f>
        <v>-0</v>
      </c>
      <c r="X71" s="441" t="n">
        <f aca="false">Wh_Int*-Returns!X70</f>
        <v>-0</v>
      </c>
      <c r="Y71" s="441" t="n">
        <f aca="false">Wh_Int*-Returns!Y70</f>
        <v>-0</v>
      </c>
      <c r="Z71" s="441" t="n">
        <f aca="false">Wh_Int*-Returns!Z70</f>
        <v>-0</v>
      </c>
      <c r="AA71" s="442" t="n">
        <f aca="false">SUM(D71:Z71)</f>
        <v>-1549.68708048486</v>
      </c>
      <c r="AB71" s="442" t="n">
        <f aca="false">$E71+NPV(Disc,$F71:Z71)</f>
        <v>-480.753112087503</v>
      </c>
      <c r="AC71" s="443"/>
      <c r="AD71" s="443"/>
      <c r="AE71" s="443"/>
      <c r="AF71" s="443"/>
      <c r="AG71" s="443"/>
      <c r="AH71" s="443"/>
      <c r="AI71" s="443"/>
      <c r="AJ71" s="443"/>
      <c r="AK71" s="443"/>
      <c r="AL71" s="443"/>
      <c r="AM71" s="443"/>
      <c r="AN71" s="443"/>
      <c r="AO71" s="443"/>
      <c r="AP71" s="443"/>
      <c r="AQ71" s="443"/>
      <c r="AR71" s="443"/>
      <c r="AS71" s="443"/>
      <c r="AT71" s="443"/>
      <c r="AU71" s="443"/>
      <c r="AV71" s="443"/>
      <c r="AW71" s="443"/>
      <c r="AX71" s="443"/>
      <c r="AY71" s="443"/>
      <c r="AZ71" s="443"/>
      <c r="BA71" s="443"/>
      <c r="BB71" s="443"/>
      <c r="BC71" s="443"/>
      <c r="BD71" s="443"/>
      <c r="BE71" s="443"/>
      <c r="BF71" s="443"/>
      <c r="BG71" s="443"/>
      <c r="BH71" s="443"/>
      <c r="BI71" s="443"/>
      <c r="BJ71" s="443"/>
      <c r="BK71" s="443"/>
      <c r="BL71" s="443"/>
      <c r="BM71" s="443"/>
      <c r="BN71" s="443"/>
      <c r="BO71" s="443"/>
      <c r="BP71" s="443"/>
      <c r="BQ71" s="443"/>
      <c r="BR71" s="443"/>
      <c r="BS71" s="443"/>
      <c r="BT71" s="443"/>
      <c r="BU71" s="443"/>
      <c r="BV71" s="443"/>
      <c r="BW71" s="443"/>
      <c r="BX71" s="443"/>
      <c r="BY71" s="443"/>
      <c r="BZ71" s="443"/>
      <c r="CA71" s="443"/>
      <c r="CB71" s="443"/>
      <c r="CC71" s="443"/>
      <c r="CD71" s="443"/>
      <c r="CE71" s="443"/>
      <c r="CF71" s="443"/>
      <c r="CG71" s="443"/>
      <c r="CH71" s="443"/>
      <c r="CI71" s="443"/>
      <c r="CJ71" s="443"/>
      <c r="CK71" s="443"/>
      <c r="CL71" s="443"/>
      <c r="CM71" s="443"/>
      <c r="CN71" s="443"/>
      <c r="CO71" s="443"/>
      <c r="CP71" s="443"/>
      <c r="CQ71" s="443"/>
      <c r="CR71" s="443"/>
      <c r="CS71" s="443"/>
      <c r="CT71" s="443"/>
      <c r="CU71" s="443"/>
      <c r="CV71" s="443"/>
      <c r="CW71" s="443"/>
      <c r="CX71" s="443"/>
      <c r="CY71" s="443"/>
      <c r="CZ71" s="443"/>
      <c r="DA71" s="443"/>
      <c r="DB71" s="443"/>
      <c r="DC71" s="443"/>
      <c r="DD71" s="443"/>
      <c r="DE71" s="443"/>
      <c r="DF71" s="443"/>
      <c r="DG71" s="443"/>
      <c r="DH71" s="443"/>
      <c r="DI71" s="443"/>
      <c r="DJ71" s="443"/>
      <c r="DK71" s="443"/>
      <c r="DL71" s="443"/>
      <c r="DM71" s="443"/>
      <c r="DN71" s="443"/>
      <c r="DO71" s="443"/>
      <c r="DP71" s="443"/>
      <c r="DQ71" s="443"/>
      <c r="DR71" s="443"/>
      <c r="DS71" s="443"/>
      <c r="DT71" s="443"/>
      <c r="DU71" s="443"/>
      <c r="DV71" s="443"/>
      <c r="DW71" s="443"/>
      <c r="DX71" s="443"/>
      <c r="DY71" s="443"/>
      <c r="DZ71" s="443"/>
      <c r="EA71" s="443"/>
      <c r="EB71" s="443"/>
      <c r="EC71" s="443"/>
      <c r="ED71" s="443"/>
      <c r="EE71" s="443"/>
      <c r="EF71" s="443"/>
      <c r="EG71" s="443"/>
      <c r="EH71" s="443"/>
      <c r="EI71" s="443"/>
      <c r="EJ71" s="443"/>
      <c r="EK71" s="443"/>
      <c r="EL71" s="443"/>
      <c r="EM71" s="443"/>
      <c r="EN71" s="443"/>
      <c r="EO71" s="443"/>
      <c r="EP71" s="443"/>
      <c r="EQ71" s="443"/>
      <c r="ER71" s="443"/>
      <c r="ES71" s="443"/>
      <c r="ET71" s="443"/>
      <c r="EU71" s="443"/>
      <c r="EV71" s="443"/>
      <c r="EW71" s="443"/>
      <c r="EX71" s="443"/>
      <c r="EY71" s="443"/>
      <c r="EZ71" s="443"/>
      <c r="FA71" s="443"/>
      <c r="FB71" s="443"/>
      <c r="FC71" s="443"/>
      <c r="FD71" s="443"/>
      <c r="FE71" s="443"/>
      <c r="FF71" s="443"/>
      <c r="FG71" s="443"/>
      <c r="FH71" s="443"/>
      <c r="FI71" s="443"/>
      <c r="FJ71" s="443"/>
      <c r="FK71" s="443"/>
      <c r="FL71" s="443"/>
      <c r="FM71" s="443"/>
      <c r="FN71" s="443"/>
      <c r="FO71" s="443"/>
      <c r="FP71" s="443"/>
      <c r="FQ71" s="443"/>
      <c r="FR71" s="443"/>
      <c r="FS71" s="443"/>
      <c r="FT71" s="443"/>
      <c r="FU71" s="443"/>
      <c r="FV71" s="443"/>
      <c r="FW71" s="443"/>
      <c r="FX71" s="443"/>
      <c r="FY71" s="443"/>
      <c r="FZ71" s="443"/>
      <c r="GA71" s="443"/>
      <c r="GB71" s="443"/>
      <c r="GC71" s="443"/>
      <c r="GD71" s="443"/>
      <c r="GE71" s="443"/>
      <c r="GF71" s="443"/>
      <c r="GG71" s="443"/>
      <c r="GH71" s="443"/>
      <c r="GI71" s="443"/>
      <c r="GJ71" s="443"/>
      <c r="GK71" s="443"/>
      <c r="GL71" s="443"/>
      <c r="GM71" s="443"/>
      <c r="GN71" s="443"/>
      <c r="GO71" s="443"/>
      <c r="GP71" s="443"/>
      <c r="GQ71" s="443"/>
      <c r="GR71" s="443"/>
      <c r="GS71" s="443"/>
      <c r="GT71" s="443"/>
      <c r="GU71" s="443"/>
      <c r="GV71" s="443"/>
      <c r="GW71" s="443"/>
      <c r="GX71" s="443"/>
      <c r="GY71" s="443"/>
      <c r="GZ71" s="443"/>
      <c r="HA71" s="443"/>
      <c r="HB71" s="443"/>
      <c r="HC71" s="443"/>
      <c r="HD71" s="443"/>
      <c r="HE71" s="443"/>
      <c r="HF71" s="443"/>
      <c r="HG71" s="443"/>
      <c r="HH71" s="443"/>
      <c r="HI71" s="443"/>
      <c r="HJ71" s="443"/>
      <c r="HK71" s="443"/>
      <c r="HL71" s="443"/>
      <c r="HM71" s="443"/>
      <c r="HN71" s="443"/>
      <c r="HO71" s="443"/>
      <c r="HP71" s="443"/>
      <c r="HQ71" s="443"/>
      <c r="HR71" s="443"/>
      <c r="HS71" s="443"/>
      <c r="HT71" s="443"/>
      <c r="HU71" s="443"/>
      <c r="HV71" s="443"/>
      <c r="HW71" s="443"/>
      <c r="HX71" s="443"/>
      <c r="HY71" s="443"/>
      <c r="HZ71" s="443"/>
      <c r="IA71" s="443"/>
      <c r="IB71" s="443"/>
      <c r="IC71" s="443"/>
      <c r="ID71" s="443"/>
      <c r="IE71" s="443"/>
      <c r="IF71" s="443"/>
      <c r="IG71" s="443"/>
      <c r="IH71" s="443"/>
      <c r="II71" s="443"/>
      <c r="IJ71" s="443"/>
      <c r="IK71" s="443"/>
      <c r="IL71" s="443"/>
      <c r="IM71" s="443"/>
      <c r="IN71" s="443"/>
      <c r="IO71" s="443"/>
      <c r="IP71" s="443"/>
      <c r="IQ71" s="443"/>
      <c r="IR71" s="443"/>
      <c r="IS71" s="443"/>
      <c r="IT71" s="443"/>
      <c r="IU71" s="443"/>
      <c r="IV71" s="443"/>
      <c r="IW71" s="443"/>
    </row>
    <row r="72" customFormat="false" ht="12.75" hidden="false" customHeight="false" outlineLevel="0" collapsed="false">
      <c r="A72" s="437"/>
      <c r="B72" s="438" t="s">
        <v>410</v>
      </c>
      <c r="C72" s="444" t="s">
        <v>280</v>
      </c>
      <c r="D72" s="440"/>
      <c r="E72" s="441" t="n">
        <f aca="false">-PLRisk!E54</f>
        <v>0</v>
      </c>
      <c r="F72" s="441" t="n">
        <f aca="false">-PLRisk!F54</f>
        <v>-90.7273936824407</v>
      </c>
      <c r="G72" s="441" t="n">
        <f aca="false">-PLRisk!G54</f>
        <v>-90.7273936824407</v>
      </c>
      <c r="H72" s="441" t="n">
        <f aca="false">-PLRisk!H54</f>
        <v>0</v>
      </c>
      <c r="I72" s="441" t="n">
        <f aca="false">-PLRisk!I54</f>
        <v>0</v>
      </c>
      <c r="J72" s="441" t="n">
        <f aca="false">-PLRisk!J54</f>
        <v>0</v>
      </c>
      <c r="K72" s="441" t="n">
        <f aca="false">-PLRisk!K54</f>
        <v>0</v>
      </c>
      <c r="L72" s="441" t="n">
        <f aca="false">-PLRisk!L54</f>
        <v>0</v>
      </c>
      <c r="M72" s="441" t="n">
        <f aca="false">-PLRisk!M54</f>
        <v>0</v>
      </c>
      <c r="N72" s="441" t="n">
        <f aca="false">-PLRisk!N54</f>
        <v>0</v>
      </c>
      <c r="O72" s="441" t="n">
        <f aca="false">-PLRisk!O54</f>
        <v>0</v>
      </c>
      <c r="P72" s="441" t="n">
        <f aca="false">-PLRisk!P54</f>
        <v>0</v>
      </c>
      <c r="Q72" s="441" t="n">
        <f aca="false">-PLRisk!Q54</f>
        <v>0</v>
      </c>
      <c r="R72" s="441" t="n">
        <f aca="false">-PLRisk!R54</f>
        <v>0</v>
      </c>
      <c r="S72" s="441" t="n">
        <f aca="false">-PLRisk!S54</f>
        <v>0</v>
      </c>
      <c r="T72" s="441" t="n">
        <f aca="false">-PLRisk!T54</f>
        <v>0</v>
      </c>
      <c r="U72" s="441" t="n">
        <f aca="false">-PLRisk!U54</f>
        <v>0</v>
      </c>
      <c r="V72" s="441" t="n">
        <f aca="false">-PLRisk!V54</f>
        <v>0</v>
      </c>
      <c r="W72" s="441" t="n">
        <f aca="false">-PLRisk!W54</f>
        <v>0</v>
      </c>
      <c r="X72" s="441" t="n">
        <f aca="false">-PLRisk!X54</f>
        <v>0</v>
      </c>
      <c r="Y72" s="441" t="n">
        <f aca="false">-PLRisk!Y54</f>
        <v>0</v>
      </c>
      <c r="Z72" s="441" t="n">
        <f aca="false">-PLRisk!Z54</f>
        <v>0</v>
      </c>
      <c r="AA72" s="442" t="n">
        <f aca="false">SUM(D72:Z72)</f>
        <v>-181.454787364881</v>
      </c>
      <c r="AB72" s="442" t="n">
        <f aca="false">$E72+NPV(Disc,$F72:Z72)</f>
        <v>-140.310000822361</v>
      </c>
      <c r="AC72" s="443"/>
      <c r="AD72" s="443"/>
      <c r="AE72" s="443"/>
      <c r="AF72" s="443"/>
      <c r="AG72" s="443"/>
      <c r="AH72" s="443"/>
      <c r="AI72" s="443"/>
      <c r="AJ72" s="443"/>
      <c r="AK72" s="443"/>
      <c r="AL72" s="443"/>
      <c r="AM72" s="443"/>
      <c r="AN72" s="443"/>
      <c r="AO72" s="443"/>
      <c r="AP72" s="443"/>
      <c r="AQ72" s="443"/>
      <c r="AR72" s="443"/>
      <c r="AS72" s="443"/>
      <c r="AT72" s="443"/>
      <c r="AU72" s="443"/>
      <c r="AV72" s="443"/>
      <c r="AW72" s="443"/>
      <c r="AX72" s="443"/>
      <c r="AY72" s="443"/>
      <c r="AZ72" s="443"/>
      <c r="BA72" s="443"/>
      <c r="BB72" s="443"/>
      <c r="BC72" s="443"/>
      <c r="BD72" s="443"/>
      <c r="BE72" s="443"/>
      <c r="BF72" s="443"/>
      <c r="BG72" s="443"/>
      <c r="BH72" s="443"/>
      <c r="BI72" s="443"/>
      <c r="BJ72" s="443"/>
      <c r="BK72" s="443"/>
      <c r="BL72" s="443"/>
      <c r="BM72" s="443"/>
      <c r="BN72" s="443"/>
      <c r="BO72" s="443"/>
      <c r="BP72" s="443"/>
      <c r="BQ72" s="443"/>
      <c r="BR72" s="443"/>
      <c r="BS72" s="443"/>
      <c r="BT72" s="443"/>
      <c r="BU72" s="443"/>
      <c r="BV72" s="443"/>
      <c r="BW72" s="443"/>
      <c r="BX72" s="443"/>
      <c r="BY72" s="443"/>
      <c r="BZ72" s="443"/>
      <c r="CA72" s="443"/>
      <c r="CB72" s="443"/>
      <c r="CC72" s="443"/>
      <c r="CD72" s="443"/>
      <c r="CE72" s="443"/>
      <c r="CF72" s="443"/>
      <c r="CG72" s="443"/>
      <c r="CH72" s="443"/>
      <c r="CI72" s="443"/>
      <c r="CJ72" s="443"/>
      <c r="CK72" s="443"/>
      <c r="CL72" s="443"/>
      <c r="CM72" s="443"/>
      <c r="CN72" s="443"/>
      <c r="CO72" s="443"/>
      <c r="CP72" s="443"/>
      <c r="CQ72" s="443"/>
      <c r="CR72" s="443"/>
      <c r="CS72" s="443"/>
      <c r="CT72" s="443"/>
      <c r="CU72" s="443"/>
      <c r="CV72" s="443"/>
      <c r="CW72" s="443"/>
      <c r="CX72" s="443"/>
      <c r="CY72" s="443"/>
      <c r="CZ72" s="443"/>
      <c r="DA72" s="443"/>
      <c r="DB72" s="443"/>
      <c r="DC72" s="443"/>
      <c r="DD72" s="443"/>
      <c r="DE72" s="443"/>
      <c r="DF72" s="443"/>
      <c r="DG72" s="443"/>
      <c r="DH72" s="443"/>
      <c r="DI72" s="443"/>
      <c r="DJ72" s="443"/>
      <c r="DK72" s="443"/>
      <c r="DL72" s="443"/>
      <c r="DM72" s="443"/>
      <c r="DN72" s="443"/>
      <c r="DO72" s="443"/>
      <c r="DP72" s="443"/>
      <c r="DQ72" s="443"/>
      <c r="DR72" s="443"/>
      <c r="DS72" s="443"/>
      <c r="DT72" s="443"/>
      <c r="DU72" s="443"/>
      <c r="DV72" s="443"/>
      <c r="DW72" s="443"/>
      <c r="DX72" s="443"/>
      <c r="DY72" s="443"/>
      <c r="DZ72" s="443"/>
      <c r="EA72" s="443"/>
      <c r="EB72" s="443"/>
      <c r="EC72" s="443"/>
      <c r="ED72" s="443"/>
      <c r="EE72" s="443"/>
      <c r="EF72" s="443"/>
      <c r="EG72" s="443"/>
      <c r="EH72" s="443"/>
      <c r="EI72" s="443"/>
      <c r="EJ72" s="443"/>
      <c r="EK72" s="443"/>
      <c r="EL72" s="443"/>
      <c r="EM72" s="443"/>
      <c r="EN72" s="443"/>
      <c r="EO72" s="443"/>
      <c r="EP72" s="443"/>
      <c r="EQ72" s="443"/>
      <c r="ER72" s="443"/>
      <c r="ES72" s="443"/>
      <c r="ET72" s="443"/>
      <c r="EU72" s="443"/>
      <c r="EV72" s="443"/>
      <c r="EW72" s="443"/>
      <c r="EX72" s="443"/>
      <c r="EY72" s="443"/>
      <c r="EZ72" s="443"/>
      <c r="FA72" s="443"/>
      <c r="FB72" s="443"/>
      <c r="FC72" s="443"/>
      <c r="FD72" s="443"/>
      <c r="FE72" s="443"/>
      <c r="FF72" s="443"/>
      <c r="FG72" s="443"/>
      <c r="FH72" s="443"/>
      <c r="FI72" s="443"/>
      <c r="FJ72" s="443"/>
      <c r="FK72" s="443"/>
      <c r="FL72" s="443"/>
      <c r="FM72" s="443"/>
      <c r="FN72" s="443"/>
      <c r="FO72" s="443"/>
      <c r="FP72" s="443"/>
      <c r="FQ72" s="443"/>
      <c r="FR72" s="443"/>
      <c r="FS72" s="443"/>
      <c r="FT72" s="443"/>
      <c r="FU72" s="443"/>
      <c r="FV72" s="443"/>
      <c r="FW72" s="443"/>
      <c r="FX72" s="443"/>
      <c r="FY72" s="443"/>
      <c r="FZ72" s="443"/>
      <c r="GA72" s="443"/>
      <c r="GB72" s="443"/>
      <c r="GC72" s="443"/>
      <c r="GD72" s="443"/>
      <c r="GE72" s="443"/>
      <c r="GF72" s="443"/>
      <c r="GG72" s="443"/>
      <c r="GH72" s="443"/>
      <c r="GI72" s="443"/>
      <c r="GJ72" s="443"/>
      <c r="GK72" s="443"/>
      <c r="GL72" s="443"/>
      <c r="GM72" s="443"/>
      <c r="GN72" s="443"/>
      <c r="GO72" s="443"/>
      <c r="GP72" s="443"/>
      <c r="GQ72" s="443"/>
      <c r="GR72" s="443"/>
      <c r="GS72" s="443"/>
      <c r="GT72" s="443"/>
      <c r="GU72" s="443"/>
      <c r="GV72" s="443"/>
      <c r="GW72" s="443"/>
      <c r="GX72" s="443"/>
      <c r="GY72" s="443"/>
      <c r="GZ72" s="443"/>
      <c r="HA72" s="443"/>
      <c r="HB72" s="443"/>
      <c r="HC72" s="443"/>
      <c r="HD72" s="443"/>
      <c r="HE72" s="443"/>
      <c r="HF72" s="443"/>
      <c r="HG72" s="443"/>
      <c r="HH72" s="443"/>
      <c r="HI72" s="443"/>
      <c r="HJ72" s="443"/>
      <c r="HK72" s="443"/>
      <c r="HL72" s="443"/>
      <c r="HM72" s="443"/>
      <c r="HN72" s="443"/>
      <c r="HO72" s="443"/>
      <c r="HP72" s="443"/>
      <c r="HQ72" s="443"/>
      <c r="HR72" s="443"/>
      <c r="HS72" s="443"/>
      <c r="HT72" s="443"/>
      <c r="HU72" s="443"/>
      <c r="HV72" s="443"/>
      <c r="HW72" s="443"/>
      <c r="HX72" s="443"/>
      <c r="HY72" s="443"/>
      <c r="HZ72" s="443"/>
      <c r="IA72" s="443"/>
      <c r="IB72" s="443"/>
      <c r="IC72" s="443"/>
      <c r="ID72" s="443"/>
      <c r="IE72" s="443"/>
      <c r="IF72" s="443"/>
      <c r="IG72" s="443"/>
      <c r="IH72" s="443"/>
      <c r="II72" s="443"/>
      <c r="IJ72" s="443"/>
      <c r="IK72" s="443"/>
      <c r="IL72" s="443"/>
      <c r="IM72" s="443"/>
      <c r="IN72" s="443"/>
      <c r="IO72" s="443"/>
      <c r="IP72" s="443"/>
      <c r="IQ72" s="443"/>
      <c r="IR72" s="443"/>
      <c r="IS72" s="443"/>
      <c r="IT72" s="443"/>
      <c r="IU72" s="443"/>
      <c r="IV72" s="443"/>
      <c r="IW72" s="443"/>
    </row>
    <row r="73" customFormat="false" ht="12.75" hidden="false" customHeight="false" outlineLevel="0" collapsed="false">
      <c r="A73" s="437"/>
      <c r="B73" s="438" t="s">
        <v>402</v>
      </c>
      <c r="C73" s="439"/>
      <c r="D73" s="440"/>
      <c r="E73" s="445" t="n">
        <f aca="false">-SUM(E70:E72)*USTax</f>
        <v>-0</v>
      </c>
      <c r="F73" s="445" t="n">
        <f aca="false">-SUM(F70:F72)*USTax</f>
        <v>33.5691356625031</v>
      </c>
      <c r="G73" s="445" t="n">
        <f aca="false">-SUM(G70:G72)*USTax</f>
        <v>33.5691356625031</v>
      </c>
      <c r="H73" s="445" t="n">
        <f aca="false">-SUM(H70:H72)*USTax</f>
        <v>-183.068456458662</v>
      </c>
      <c r="I73" s="445" t="n">
        <f aca="false">-SUM(I70:I72)*USTax</f>
        <v>-434.599125148535</v>
      </c>
      <c r="J73" s="445" t="n">
        <f aca="false">-SUM(J70:J72)*USTax</f>
        <v>-414.279366603193</v>
      </c>
      <c r="K73" s="445" t="n">
        <f aca="false">-SUM(K70:K72)*USTax</f>
        <v>-391.232188467102</v>
      </c>
      <c r="L73" s="445" t="n">
        <f aca="false">-SUM(L70:L72)*USTax</f>
        <v>-365.091502845695</v>
      </c>
      <c r="M73" s="445" t="n">
        <f aca="false">-SUM(M70:M72)*USTax</f>
        <v>-335.442083696755</v>
      </c>
      <c r="N73" s="445" t="n">
        <f aca="false">-SUM(N70:N72)*USTax</f>
        <v>-301.812971262548</v>
      </c>
      <c r="O73" s="445" t="n">
        <f aca="false">-SUM(O70:O72)*USTax</f>
        <v>-263.669991211859</v>
      </c>
      <c r="P73" s="445" t="n">
        <f aca="false">-SUM(P70:P72)*USTax</f>
        <v>-220.407269663867</v>
      </c>
      <c r="Q73" s="445" t="n">
        <f aca="false">-SUM(Q70:Q72)*USTax</f>
        <v>-171.337609316096</v>
      </c>
      <c r="R73" s="445" t="n">
        <f aca="false">-SUM(R70:R72)*USTax</f>
        <v>-115.681573808145</v>
      </c>
      <c r="S73" s="445" t="n">
        <f aca="false">-SUM(S70:S72)*USTax</f>
        <v>-52.5551069341391</v>
      </c>
      <c r="T73" s="445" t="n">
        <f aca="false">-SUM(T70:T72)*USTax</f>
        <v>-0</v>
      </c>
      <c r="U73" s="445" t="n">
        <f aca="false">-SUM(U70:U72)*USTax</f>
        <v>-0</v>
      </c>
      <c r="V73" s="445" t="n">
        <f aca="false">-SUM(V70:V72)*USTax</f>
        <v>-0</v>
      </c>
      <c r="W73" s="445" t="n">
        <f aca="false">-SUM(W70:W72)*USTax</f>
        <v>-0</v>
      </c>
      <c r="X73" s="445" t="n">
        <f aca="false">-SUM(X70:X72)*USTax</f>
        <v>-0</v>
      </c>
      <c r="Y73" s="445" t="n">
        <f aca="false">-SUM(Y70:Y72)*USTax</f>
        <v>-0</v>
      </c>
      <c r="Z73" s="445" t="n">
        <f aca="false">-SUM(Z70:Z72)*USTax</f>
        <v>-0</v>
      </c>
      <c r="AA73" s="446" t="n">
        <f aca="false">SUM(D73:Z73)</f>
        <v>-3182.03897409159</v>
      </c>
      <c r="AB73" s="446" t="n">
        <f aca="false">$E73+NPV(Disc,$F73:Z73)</f>
        <v>-956.064324705858</v>
      </c>
      <c r="AC73" s="443"/>
      <c r="AD73" s="443"/>
      <c r="AE73" s="443"/>
      <c r="AF73" s="443"/>
      <c r="AG73" s="443"/>
      <c r="AH73" s="443"/>
      <c r="AI73" s="443"/>
      <c r="AJ73" s="443"/>
      <c r="AK73" s="443"/>
      <c r="AL73" s="443"/>
      <c r="AM73" s="443"/>
      <c r="AN73" s="443"/>
      <c r="AO73" s="443"/>
      <c r="AP73" s="443"/>
      <c r="AQ73" s="443"/>
      <c r="AR73" s="443"/>
      <c r="AS73" s="443"/>
      <c r="AT73" s="443"/>
      <c r="AU73" s="443"/>
      <c r="AV73" s="443"/>
      <c r="AW73" s="443"/>
      <c r="AX73" s="443"/>
      <c r="AY73" s="443"/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43"/>
      <c r="BQ73" s="443"/>
      <c r="BR73" s="443"/>
      <c r="BS73" s="443"/>
      <c r="BT73" s="443"/>
      <c r="BU73" s="443"/>
      <c r="BV73" s="443"/>
      <c r="BW73" s="443"/>
      <c r="BX73" s="443"/>
      <c r="BY73" s="443"/>
      <c r="BZ73" s="443"/>
      <c r="CA73" s="443"/>
      <c r="CB73" s="443"/>
      <c r="CC73" s="443"/>
      <c r="CD73" s="443"/>
      <c r="CE73" s="443"/>
      <c r="CF73" s="443"/>
      <c r="CG73" s="443"/>
      <c r="CH73" s="443"/>
      <c r="CI73" s="443"/>
      <c r="CJ73" s="443"/>
      <c r="CK73" s="443"/>
      <c r="CL73" s="443"/>
      <c r="CM73" s="443"/>
      <c r="CN73" s="443"/>
      <c r="CO73" s="443"/>
      <c r="CP73" s="443"/>
      <c r="CQ73" s="443"/>
      <c r="CR73" s="443"/>
      <c r="CS73" s="443"/>
      <c r="CT73" s="443"/>
      <c r="CU73" s="443"/>
      <c r="CV73" s="443"/>
      <c r="CW73" s="443"/>
      <c r="CX73" s="443"/>
      <c r="CY73" s="443"/>
      <c r="CZ73" s="443"/>
      <c r="DA73" s="443"/>
      <c r="DB73" s="443"/>
      <c r="DC73" s="443"/>
      <c r="DD73" s="443"/>
      <c r="DE73" s="443"/>
      <c r="DF73" s="443"/>
      <c r="DG73" s="443"/>
      <c r="DH73" s="443"/>
      <c r="DI73" s="443"/>
      <c r="DJ73" s="443"/>
      <c r="DK73" s="443"/>
      <c r="DL73" s="443"/>
      <c r="DM73" s="443"/>
      <c r="DN73" s="443"/>
      <c r="DO73" s="443"/>
      <c r="DP73" s="443"/>
      <c r="DQ73" s="443"/>
      <c r="DR73" s="443"/>
      <c r="DS73" s="443"/>
      <c r="DT73" s="443"/>
      <c r="DU73" s="443"/>
      <c r="DV73" s="443"/>
      <c r="DW73" s="443"/>
      <c r="DX73" s="443"/>
      <c r="DY73" s="443"/>
      <c r="DZ73" s="443"/>
      <c r="EA73" s="443"/>
      <c r="EB73" s="443"/>
      <c r="EC73" s="443"/>
      <c r="ED73" s="443"/>
      <c r="EE73" s="443"/>
      <c r="EF73" s="443"/>
      <c r="EG73" s="443"/>
      <c r="EH73" s="443"/>
      <c r="EI73" s="443"/>
      <c r="EJ73" s="443"/>
      <c r="EK73" s="443"/>
      <c r="EL73" s="443"/>
      <c r="EM73" s="443"/>
      <c r="EN73" s="443"/>
      <c r="EO73" s="443"/>
      <c r="EP73" s="443"/>
      <c r="EQ73" s="443"/>
      <c r="ER73" s="443"/>
      <c r="ES73" s="443"/>
      <c r="ET73" s="443"/>
      <c r="EU73" s="443"/>
      <c r="EV73" s="443"/>
      <c r="EW73" s="443"/>
      <c r="EX73" s="443"/>
      <c r="EY73" s="443"/>
      <c r="EZ73" s="443"/>
      <c r="FA73" s="443"/>
      <c r="FB73" s="443"/>
      <c r="FC73" s="443"/>
      <c r="FD73" s="443"/>
      <c r="FE73" s="443"/>
      <c r="FF73" s="443"/>
      <c r="FG73" s="443"/>
      <c r="FH73" s="443"/>
      <c r="FI73" s="443"/>
      <c r="FJ73" s="443"/>
      <c r="FK73" s="443"/>
      <c r="FL73" s="443"/>
      <c r="FM73" s="443"/>
      <c r="FN73" s="443"/>
      <c r="FO73" s="443"/>
      <c r="FP73" s="443"/>
      <c r="FQ73" s="443"/>
      <c r="FR73" s="443"/>
      <c r="FS73" s="443"/>
      <c r="FT73" s="443"/>
      <c r="FU73" s="443"/>
      <c r="FV73" s="443"/>
      <c r="FW73" s="443"/>
      <c r="FX73" s="443"/>
      <c r="FY73" s="443"/>
      <c r="FZ73" s="443"/>
      <c r="GA73" s="443"/>
      <c r="GB73" s="443"/>
      <c r="GC73" s="443"/>
      <c r="GD73" s="443"/>
      <c r="GE73" s="443"/>
      <c r="GF73" s="443"/>
      <c r="GG73" s="443"/>
      <c r="GH73" s="443"/>
      <c r="GI73" s="443"/>
      <c r="GJ73" s="443"/>
      <c r="GK73" s="443"/>
      <c r="GL73" s="443"/>
      <c r="GM73" s="443"/>
      <c r="GN73" s="443"/>
      <c r="GO73" s="443"/>
      <c r="GP73" s="443"/>
      <c r="GQ73" s="443"/>
      <c r="GR73" s="443"/>
      <c r="GS73" s="443"/>
      <c r="GT73" s="443"/>
      <c r="GU73" s="443"/>
      <c r="GV73" s="443"/>
      <c r="GW73" s="443"/>
      <c r="GX73" s="443"/>
      <c r="GY73" s="443"/>
      <c r="GZ73" s="443"/>
      <c r="HA73" s="443"/>
      <c r="HB73" s="443"/>
      <c r="HC73" s="443"/>
      <c r="HD73" s="443"/>
      <c r="HE73" s="443"/>
      <c r="HF73" s="443"/>
      <c r="HG73" s="443"/>
      <c r="HH73" s="443"/>
      <c r="HI73" s="443"/>
      <c r="HJ73" s="443"/>
      <c r="HK73" s="443"/>
      <c r="HL73" s="443"/>
      <c r="HM73" s="443"/>
      <c r="HN73" s="443"/>
      <c r="HO73" s="443"/>
      <c r="HP73" s="443"/>
      <c r="HQ73" s="443"/>
      <c r="HR73" s="443"/>
      <c r="HS73" s="443"/>
      <c r="HT73" s="443"/>
      <c r="HU73" s="443"/>
      <c r="HV73" s="443"/>
      <c r="HW73" s="443"/>
      <c r="HX73" s="443"/>
      <c r="HY73" s="443"/>
      <c r="HZ73" s="443"/>
      <c r="IA73" s="443"/>
      <c r="IB73" s="443"/>
      <c r="IC73" s="443"/>
      <c r="ID73" s="443"/>
      <c r="IE73" s="443"/>
      <c r="IF73" s="443"/>
      <c r="IG73" s="443"/>
      <c r="IH73" s="443"/>
      <c r="II73" s="443"/>
      <c r="IJ73" s="443"/>
      <c r="IK73" s="443"/>
      <c r="IL73" s="443"/>
      <c r="IM73" s="443"/>
      <c r="IN73" s="443"/>
      <c r="IO73" s="443"/>
      <c r="IP73" s="443"/>
      <c r="IQ73" s="443"/>
      <c r="IR73" s="443"/>
      <c r="IS73" s="443"/>
      <c r="IT73" s="443"/>
      <c r="IU73" s="443"/>
      <c r="IV73" s="443"/>
      <c r="IW73" s="443"/>
    </row>
    <row r="74" customFormat="false" ht="12.75" hidden="false" customHeight="false" outlineLevel="0" collapsed="false">
      <c r="A74" s="447"/>
      <c r="B74" s="448" t="s">
        <v>411</v>
      </c>
      <c r="C74" s="449"/>
      <c r="D74" s="450"/>
      <c r="E74" s="451" t="n">
        <f aca="false">SUM(E67:E73)</f>
        <v>-2801.42016208755</v>
      </c>
      <c r="F74" s="451" t="n">
        <f aca="false">SUM(F67:F73)</f>
        <v>-22887.8986788447</v>
      </c>
      <c r="G74" s="451" t="n">
        <f aca="false">SUM(G67:G73)</f>
        <v>3345.05753986847</v>
      </c>
      <c r="H74" s="451" t="n">
        <f aca="false">SUM(H67:H73)</f>
        <v>-376.980757468636</v>
      </c>
      <c r="I74" s="451" t="n">
        <f aca="false">SUM(I67:I73)</f>
        <v>-1357.41921238768</v>
      </c>
      <c r="J74" s="451" t="n">
        <f aca="false">SUM(J67:J73)</f>
        <v>-1853.19456118118</v>
      </c>
      <c r="K74" s="451" t="n">
        <f aca="false">SUM(K67:K73)</f>
        <v>-1174.92754756771</v>
      </c>
      <c r="L74" s="451" t="n">
        <f aca="false">SUM(L67:L73)</f>
        <v>-1214.56255456055</v>
      </c>
      <c r="M74" s="451" t="n">
        <f aca="false">SUM(M67:M73)</f>
        <v>-1106.08297900399</v>
      </c>
      <c r="N74" s="451" t="n">
        <f aca="false">SUM(N67:N73)</f>
        <v>-774.212977299905</v>
      </c>
      <c r="O74" s="451" t="n">
        <f aca="false">SUM(O67:O73)</f>
        <v>754.90476793333</v>
      </c>
      <c r="P74" s="451" t="n">
        <f aca="false">SUM(P67:P73)</f>
        <v>2279.36686156312</v>
      </c>
      <c r="Q74" s="451" t="n">
        <f aca="false">SUM(Q67:Q73)</f>
        <v>2744.38518807498</v>
      </c>
      <c r="R74" s="451" t="n">
        <f aca="false">SUM(R67:R73)</f>
        <v>2749.16954491711</v>
      </c>
      <c r="S74" s="451" t="n">
        <f aca="false">SUM(S67:S73)</f>
        <v>2763.49729329422</v>
      </c>
      <c r="T74" s="451" t="n">
        <f aca="false">SUM(T67:T73)</f>
        <v>2750.95531884383</v>
      </c>
      <c r="U74" s="451" t="n">
        <f aca="false">SUM(U67:U73)</f>
        <v>3494.55924338788</v>
      </c>
      <c r="V74" s="451" t="n">
        <f aca="false">SUM(V67:V73)</f>
        <v>4943.41902295288</v>
      </c>
      <c r="W74" s="451" t="n">
        <f aca="false">SUM(W67:W73)</f>
        <v>7708.38084705591</v>
      </c>
      <c r="X74" s="451" t="n">
        <f aca="false">SUM(X67:X73)</f>
        <v>7997.02319459783</v>
      </c>
      <c r="Y74" s="451" t="n">
        <f aca="false">SUM(Y67:Y73)</f>
        <v>8120.0102851164</v>
      </c>
      <c r="Z74" s="451" t="n">
        <f aca="false">SUM(Z67:Z73)</f>
        <v>98381.2423929742</v>
      </c>
      <c r="AA74" s="452" t="n">
        <f aca="false">SUM(D74:Z74)</f>
        <v>114485.272070178</v>
      </c>
      <c r="AB74" s="452" t="n">
        <f aca="false">SUM(AB67:AB73)</f>
        <v>-17117.0804305942</v>
      </c>
      <c r="AC74" s="453"/>
      <c r="AD74" s="453"/>
      <c r="AE74" s="453"/>
      <c r="AF74" s="453"/>
      <c r="AG74" s="453"/>
      <c r="AH74" s="453"/>
      <c r="AI74" s="453"/>
      <c r="AJ74" s="453"/>
      <c r="AK74" s="453"/>
      <c r="AL74" s="453"/>
      <c r="AM74" s="453"/>
      <c r="AN74" s="453"/>
      <c r="AO74" s="453"/>
      <c r="AP74" s="453"/>
      <c r="AQ74" s="453"/>
      <c r="AR74" s="453"/>
      <c r="AS74" s="453"/>
      <c r="AT74" s="453"/>
      <c r="AU74" s="453"/>
      <c r="AV74" s="453"/>
      <c r="AW74" s="453"/>
      <c r="AX74" s="453"/>
      <c r="AY74" s="453"/>
      <c r="AZ74" s="453"/>
      <c r="BA74" s="453"/>
      <c r="BB74" s="453"/>
      <c r="BC74" s="453"/>
      <c r="BD74" s="453"/>
      <c r="BE74" s="453"/>
      <c r="BF74" s="453"/>
      <c r="BG74" s="453"/>
      <c r="BH74" s="453"/>
      <c r="BI74" s="453"/>
      <c r="BJ74" s="453"/>
      <c r="BK74" s="453"/>
      <c r="BL74" s="453"/>
      <c r="BM74" s="453"/>
      <c r="BN74" s="453"/>
      <c r="BO74" s="453"/>
      <c r="BP74" s="453"/>
      <c r="BQ74" s="453"/>
      <c r="BR74" s="453"/>
      <c r="BS74" s="453"/>
      <c r="BT74" s="453"/>
      <c r="BU74" s="453"/>
      <c r="BV74" s="453"/>
      <c r="BW74" s="453"/>
      <c r="BX74" s="453"/>
      <c r="BY74" s="453"/>
      <c r="BZ74" s="453"/>
      <c r="CA74" s="453"/>
      <c r="CB74" s="453"/>
      <c r="CC74" s="453"/>
      <c r="CD74" s="453"/>
      <c r="CE74" s="453"/>
      <c r="CF74" s="453"/>
      <c r="CG74" s="453"/>
      <c r="CH74" s="453"/>
      <c r="CI74" s="453"/>
      <c r="CJ74" s="453"/>
      <c r="CK74" s="453"/>
      <c r="CL74" s="453"/>
      <c r="CM74" s="453"/>
      <c r="CN74" s="453"/>
      <c r="CO74" s="453"/>
      <c r="CP74" s="453"/>
      <c r="CQ74" s="453"/>
      <c r="CR74" s="453"/>
      <c r="CS74" s="453"/>
      <c r="CT74" s="453"/>
      <c r="CU74" s="453"/>
      <c r="CV74" s="453"/>
      <c r="CW74" s="453"/>
      <c r="CX74" s="453"/>
      <c r="CY74" s="453"/>
      <c r="CZ74" s="453"/>
      <c r="DA74" s="453"/>
      <c r="DB74" s="453"/>
      <c r="DC74" s="453"/>
      <c r="DD74" s="453"/>
      <c r="DE74" s="453"/>
      <c r="DF74" s="453"/>
      <c r="DG74" s="453"/>
      <c r="DH74" s="453"/>
      <c r="DI74" s="453"/>
      <c r="DJ74" s="453"/>
      <c r="DK74" s="453"/>
      <c r="DL74" s="453"/>
      <c r="DM74" s="453"/>
      <c r="DN74" s="453"/>
      <c r="DO74" s="453"/>
      <c r="DP74" s="453"/>
      <c r="DQ74" s="453"/>
      <c r="DR74" s="453"/>
      <c r="DS74" s="453"/>
      <c r="DT74" s="453"/>
      <c r="DU74" s="453"/>
      <c r="DV74" s="453"/>
      <c r="DW74" s="453"/>
      <c r="DX74" s="453"/>
      <c r="DY74" s="453"/>
      <c r="DZ74" s="453"/>
      <c r="EA74" s="453"/>
      <c r="EB74" s="453"/>
      <c r="EC74" s="453"/>
      <c r="ED74" s="453"/>
      <c r="EE74" s="453"/>
      <c r="EF74" s="453"/>
      <c r="EG74" s="453"/>
      <c r="EH74" s="453"/>
      <c r="EI74" s="453"/>
      <c r="EJ74" s="453"/>
      <c r="EK74" s="453"/>
      <c r="EL74" s="453"/>
      <c r="EM74" s="453"/>
      <c r="EN74" s="453"/>
      <c r="EO74" s="453"/>
      <c r="EP74" s="453"/>
      <c r="EQ74" s="453"/>
      <c r="ER74" s="453"/>
      <c r="ES74" s="453"/>
      <c r="ET74" s="453"/>
      <c r="EU74" s="453"/>
      <c r="EV74" s="453"/>
      <c r="EW74" s="453"/>
      <c r="EX74" s="453"/>
      <c r="EY74" s="453"/>
      <c r="EZ74" s="453"/>
      <c r="FA74" s="453"/>
      <c r="FB74" s="453"/>
      <c r="FC74" s="453"/>
      <c r="FD74" s="453"/>
      <c r="FE74" s="453"/>
      <c r="FF74" s="453"/>
      <c r="FG74" s="453"/>
      <c r="FH74" s="453"/>
      <c r="FI74" s="453"/>
      <c r="FJ74" s="453"/>
      <c r="FK74" s="453"/>
      <c r="FL74" s="453"/>
      <c r="FM74" s="453"/>
      <c r="FN74" s="453"/>
      <c r="FO74" s="453"/>
      <c r="FP74" s="453"/>
      <c r="FQ74" s="453"/>
      <c r="FR74" s="453"/>
      <c r="FS74" s="453"/>
      <c r="FT74" s="453"/>
      <c r="FU74" s="453"/>
      <c r="FV74" s="453"/>
      <c r="FW74" s="453"/>
      <c r="FX74" s="453"/>
      <c r="FY74" s="453"/>
      <c r="FZ74" s="453"/>
      <c r="GA74" s="453"/>
      <c r="GB74" s="453"/>
      <c r="GC74" s="453"/>
      <c r="GD74" s="453"/>
      <c r="GE74" s="453"/>
      <c r="GF74" s="453"/>
      <c r="GG74" s="453"/>
      <c r="GH74" s="453"/>
      <c r="GI74" s="453"/>
      <c r="GJ74" s="453"/>
      <c r="GK74" s="453"/>
      <c r="GL74" s="453"/>
      <c r="GM74" s="453"/>
      <c r="GN74" s="453"/>
      <c r="GO74" s="453"/>
      <c r="GP74" s="453"/>
      <c r="GQ74" s="453"/>
      <c r="GR74" s="453"/>
      <c r="GS74" s="453"/>
      <c r="GT74" s="453"/>
      <c r="GU74" s="453"/>
      <c r="GV74" s="453"/>
      <c r="GW74" s="453"/>
      <c r="GX74" s="453"/>
      <c r="GY74" s="453"/>
      <c r="GZ74" s="453"/>
      <c r="HA74" s="453"/>
      <c r="HB74" s="453"/>
      <c r="HC74" s="453"/>
      <c r="HD74" s="453"/>
      <c r="HE74" s="453"/>
      <c r="HF74" s="453"/>
      <c r="HG74" s="453"/>
      <c r="HH74" s="453"/>
      <c r="HI74" s="453"/>
      <c r="HJ74" s="453"/>
      <c r="HK74" s="453"/>
      <c r="HL74" s="453"/>
      <c r="HM74" s="453"/>
      <c r="HN74" s="453"/>
      <c r="HO74" s="453"/>
      <c r="HP74" s="453"/>
      <c r="HQ74" s="453"/>
      <c r="HR74" s="453"/>
      <c r="HS74" s="453"/>
      <c r="HT74" s="453"/>
      <c r="HU74" s="453"/>
      <c r="HV74" s="453"/>
      <c r="HW74" s="453"/>
      <c r="HX74" s="453"/>
      <c r="HY74" s="453"/>
      <c r="HZ74" s="453"/>
      <c r="IA74" s="453"/>
      <c r="IB74" s="453"/>
      <c r="IC74" s="453"/>
      <c r="ID74" s="453"/>
      <c r="IE74" s="453"/>
      <c r="IF74" s="453"/>
      <c r="IG74" s="453"/>
      <c r="IH74" s="453"/>
      <c r="II74" s="453"/>
      <c r="IJ74" s="453"/>
      <c r="IK74" s="453"/>
      <c r="IL74" s="453"/>
      <c r="IM74" s="453"/>
      <c r="IN74" s="453"/>
      <c r="IO74" s="453"/>
      <c r="IP74" s="453"/>
      <c r="IQ74" s="453"/>
      <c r="IR74" s="453"/>
      <c r="IS74" s="453"/>
      <c r="IT74" s="453"/>
      <c r="IU74" s="453"/>
      <c r="IV74" s="453"/>
      <c r="IW74" s="453"/>
    </row>
    <row r="75" customFormat="false" ht="12.75" hidden="false" customHeight="false" outlineLevel="0" collapsed="false">
      <c r="A75" s="454"/>
      <c r="B75" s="39"/>
      <c r="C75" s="38"/>
      <c r="D75" s="425"/>
      <c r="E75" s="426" t="n">
        <f aca="false">E74-[1]RAROC!C34</f>
        <v>0</v>
      </c>
      <c r="F75" s="426" t="n">
        <f aca="false">F74-[1]RAROC!D34</f>
        <v>0</v>
      </c>
      <c r="G75" s="426" t="n">
        <f aca="false">G74-[1]RAROC!E34</f>
        <v>0</v>
      </c>
      <c r="H75" s="426" t="n">
        <f aca="false">H74-[1]RAROC!F34</f>
        <v>0</v>
      </c>
      <c r="I75" s="426" t="n">
        <f aca="false">I74-[1]RAROC!G34</f>
        <v>0</v>
      </c>
      <c r="J75" s="426" t="n">
        <f aca="false">J74-[1]RAROC!H34</f>
        <v>0</v>
      </c>
      <c r="K75" s="426" t="n">
        <f aca="false">K74-[1]RAROC!I34</f>
        <v>0</v>
      </c>
      <c r="L75" s="426" t="n">
        <f aca="false">L74-[1]RAROC!J34</f>
        <v>0</v>
      </c>
      <c r="M75" s="426" t="n">
        <f aca="false">M74-[1]RAROC!K34</f>
        <v>0</v>
      </c>
      <c r="N75" s="426" t="n">
        <f aca="false">N74-[1]RAROC!L34</f>
        <v>0</v>
      </c>
      <c r="O75" s="426" t="n">
        <f aca="false">O74-[1]RAROC!M34</f>
        <v>0</v>
      </c>
      <c r="P75" s="426" t="n">
        <f aca="false">P74-[1]RAROC!N34</f>
        <v>0</v>
      </c>
      <c r="Q75" s="426" t="n">
        <f aca="false">Q74-[1]RAROC!O34</f>
        <v>0</v>
      </c>
      <c r="R75" s="426" t="n">
        <f aca="false">R74-[1]RAROC!P34</f>
        <v>0</v>
      </c>
      <c r="S75" s="426" t="n">
        <f aca="false">S74-[1]RAROC!Q34</f>
        <v>0</v>
      </c>
      <c r="T75" s="426" t="n">
        <f aca="false">T74-[1]RAROC!R34</f>
        <v>0</v>
      </c>
      <c r="U75" s="426" t="n">
        <f aca="false">U74-[1]RAROC!S34</f>
        <v>0</v>
      </c>
      <c r="V75" s="426" t="n">
        <f aca="false">V74-[1]RAROC!T34</f>
        <v>-2.27373675443232E-011</v>
      </c>
      <c r="W75" s="426" t="n">
        <f aca="false">W74-[1]RAROC!U34</f>
        <v>0</v>
      </c>
      <c r="X75" s="426" t="n">
        <f aca="false">X74-[1]RAROC!V34</f>
        <v>0</v>
      </c>
      <c r="Y75" s="426" t="n">
        <f aca="false">Y74-[1]RAROC!W34</f>
        <v>0</v>
      </c>
      <c r="Z75" s="426" t="n">
        <f aca="false">Z74-[1]RAROC!X34</f>
        <v>0</v>
      </c>
      <c r="AA75" s="298"/>
      <c r="AB75" s="298"/>
    </row>
    <row r="76" customFormat="false" ht="12.75" hidden="false" customHeight="false" outlineLevel="0" collapsed="false">
      <c r="A76" s="138"/>
      <c r="B76" s="39" t="s">
        <v>379</v>
      </c>
      <c r="C76" s="38"/>
      <c r="D76" s="425"/>
      <c r="E76" s="61" t="n">
        <f aca="false">$E74</f>
        <v>-2801.42016208755</v>
      </c>
      <c r="F76" s="61" t="n">
        <f aca="false">$E74+NPV(Disc,$F74:F74)</f>
        <v>-22034.9484636377</v>
      </c>
      <c r="G76" s="61" t="n">
        <f aca="false">$E74+NPV(Disc,$F74:G74)</f>
        <v>-19672.786511891</v>
      </c>
      <c r="H76" s="61" t="n">
        <f aca="false">$E74+NPV(Disc,$F74:H74)</f>
        <v>-19896.4928550127</v>
      </c>
      <c r="I76" s="61" t="n">
        <f aca="false">$E74+NPV(Disc,$F74:I74)</f>
        <v>-20573.3953987912</v>
      </c>
      <c r="J76" s="61" t="n">
        <f aca="false">$E74+NPV(Disc,$F74:J74)</f>
        <v>-21349.9754138669</v>
      </c>
      <c r="K76" s="61" t="n">
        <f aca="false">$E74+NPV(Disc,$F74:K74)</f>
        <v>-21763.717136302</v>
      </c>
      <c r="L76" s="61" t="n">
        <f aca="false">$E74+NPV(Disc,$F74:L74)</f>
        <v>-22123.1279649476</v>
      </c>
      <c r="M76" s="61" t="n">
        <f aca="false">$E74+NPV(Disc,$F74:M74)</f>
        <v>-22398.1781985155</v>
      </c>
      <c r="N76" s="61" t="n">
        <f aca="false">$E74+NPV(Disc,$F74:N74)</f>
        <v>-22559.9630274792</v>
      </c>
      <c r="O76" s="61" t="n">
        <f aca="false">$E74+NPV(Disc,$F74:O74)</f>
        <v>-22427.3999571217</v>
      </c>
      <c r="P76" s="61" t="n">
        <f aca="false">$E74+NPV(Disc,$F74:P74)</f>
        <v>-22091.0451377774</v>
      </c>
      <c r="Q76" s="61" t="n">
        <f aca="false">$E74+NPV(Disc,$F74:Q74)</f>
        <v>-21750.7297944381</v>
      </c>
      <c r="R76" s="61" t="n">
        <f aca="false">$E74+NPV(Disc,$F74:R74)</f>
        <v>-21464.2519593326</v>
      </c>
      <c r="S76" s="61" t="n">
        <f aca="false">$E74+NPV(Disc,$F74:S74)</f>
        <v>-21222.2596388534</v>
      </c>
      <c r="T76" s="61" t="n">
        <f aca="false">$E74+NPV(Disc,$F74:T74)</f>
        <v>-21019.8276622402</v>
      </c>
      <c r="U76" s="61" t="n">
        <f aca="false">$E74+NPV(Disc,$F74:U74)</f>
        <v>-20803.7344998367</v>
      </c>
      <c r="V76" s="61" t="n">
        <f aca="false">$E74+NPV(Disc,$F74:V74)</f>
        <v>-20546.8552165786</v>
      </c>
      <c r="W76" s="61" t="n">
        <f aca="false">$E74+NPV(Disc,$F74:W74)</f>
        <v>-20210.2523124966</v>
      </c>
      <c r="X76" s="61" t="n">
        <f aca="false">$E74+NPV(Disc,$F74:X74)</f>
        <v>-19916.8009777684</v>
      </c>
      <c r="Y76" s="61" t="n">
        <f aca="false">$E74+NPV(Disc,$F74:Y74)</f>
        <v>-19666.4107636849</v>
      </c>
      <c r="Z76" s="61" t="n">
        <f aca="false">$E74+NPV(Disc,$F74:Z74)</f>
        <v>-17117.0804305942</v>
      </c>
      <c r="AA76" s="418"/>
      <c r="AB76" s="298"/>
    </row>
    <row r="77" customFormat="false" ht="12.75" hidden="false" customHeight="false" outlineLevel="0" collapsed="false">
      <c r="A77" s="138"/>
      <c r="B77" s="39" t="s">
        <v>380</v>
      </c>
      <c r="C77" s="38"/>
      <c r="D77" s="425"/>
      <c r="E77" s="107" t="e">
        <f aca="false">IRR($E74:E74,-0.9)</f>
        <v>#N/A</v>
      </c>
      <c r="F77" s="107" t="e">
        <f aca="false">IRR($E74:F74,-0.9)</f>
        <v>#N/A</v>
      </c>
      <c r="G77" s="107" t="n">
        <f aca="false">IRR($E74:G74,-0.9)</f>
        <v>-0.85637521090689</v>
      </c>
      <c r="H77" s="107" t="e">
        <f aca="false">IRR($E74:H74,-0.9)</f>
        <v>#N/A</v>
      </c>
      <c r="I77" s="107" t="e">
        <f aca="false">IRR($E74:I74,-0.9)</f>
        <v>#N/A</v>
      </c>
      <c r="J77" s="107" t="e">
        <f aca="false">IRR($E74:J74,-0.9)</f>
        <v>#N/A</v>
      </c>
      <c r="K77" s="107" t="e">
        <f aca="false">IRR($E74:K74,-0.9)</f>
        <v>#N/A</v>
      </c>
      <c r="L77" s="107" t="e">
        <f aca="false">IRR($E74:L74,-0.9)</f>
        <v>#N/A</v>
      </c>
      <c r="M77" s="107" t="e">
        <f aca="false">IRR($E74:M74,-0.9)</f>
        <v>#N/A</v>
      </c>
      <c r="N77" s="107" t="e">
        <f aca="false">IRR($E74:N74,-0.9)</f>
        <v>#N/A</v>
      </c>
      <c r="O77" s="107" t="e">
        <f aca="false">IRR($E74:O74,-0.9)</f>
        <v>#N/A</v>
      </c>
      <c r="P77" s="107" t="e">
        <f aca="false">IRR($E74:P74,-0.9)</f>
        <v>#N/A</v>
      </c>
      <c r="Q77" s="107" t="e">
        <f aca="false">IRR($E74:Q74,-0.9)</f>
        <v>#N/A</v>
      </c>
      <c r="R77" s="107" t="e">
        <f aca="false">IRR($E74:R74,-0.9)</f>
        <v>#N/A</v>
      </c>
      <c r="S77" s="107" t="e">
        <f aca="false">IRR($E74:S74,-0.9)</f>
        <v>#N/A</v>
      </c>
      <c r="T77" s="107" t="e">
        <f aca="false">IRR($E74:T74,-0.9)</f>
        <v>#N/A</v>
      </c>
      <c r="U77" s="107" t="e">
        <f aca="false">IRR($E74:U74,-0.9)</f>
        <v>#N/A</v>
      </c>
      <c r="V77" s="107" t="e">
        <f aca="false">IRR($E74:V74,-0.9)</f>
        <v>#N/A</v>
      </c>
      <c r="W77" s="107" t="e">
        <f aca="false">IRR($E74:W74,-0.9)</f>
        <v>#N/A</v>
      </c>
      <c r="X77" s="107" t="e">
        <f aca="false">IRR($E74:X74,-0.9)</f>
        <v>#N/A</v>
      </c>
      <c r="Y77" s="107" t="e">
        <f aca="false">IRR($E74:Y74,-0.9)</f>
        <v>#N/A</v>
      </c>
      <c r="Z77" s="107" t="e">
        <f aca="false">IRR($E74:Z74,-0.9)</f>
        <v>#N/A</v>
      </c>
      <c r="AA77" s="298"/>
      <c r="AB77" s="371" t="e">
        <f aca="false">IRR($E74:Z74,-0.9)</f>
        <v>#N/A</v>
      </c>
    </row>
    <row r="78" customFormat="false" ht="12.75" hidden="false" customHeight="false" outlineLevel="0" collapsed="false">
      <c r="A78" s="138"/>
      <c r="B78" s="38"/>
      <c r="C78" s="38"/>
      <c r="D78" s="425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426"/>
      <c r="Z78" s="426"/>
      <c r="AA78" s="298"/>
      <c r="AB78" s="298"/>
    </row>
    <row r="79" customFormat="false" ht="12.75" hidden="false" customHeight="false" outlineLevel="0" collapsed="false">
      <c r="A79" s="138"/>
      <c r="B79" s="374" t="str">
        <f aca="false">CONCATENATE("Enron NPV (w/ Subordinated Debt) @ ",TEXT(Disc,"0.0%"))</f>
        <v>Enron NPV (w/ Subordinated Debt) @ 19.0%</v>
      </c>
      <c r="C79" s="375" t="n">
        <f aca="false">AB74</f>
        <v>-17117.0804305942</v>
      </c>
      <c r="D79" s="39"/>
      <c r="E79" s="426"/>
      <c r="F79" s="426"/>
      <c r="G79" s="426"/>
      <c r="H79" s="426"/>
      <c r="I79" s="426"/>
      <c r="J79" s="426"/>
      <c r="K79" s="426"/>
      <c r="L79" s="426"/>
      <c r="M79" s="426"/>
      <c r="N79" s="426"/>
      <c r="O79" s="426"/>
      <c r="P79" s="426"/>
      <c r="Q79" s="426"/>
      <c r="R79" s="426"/>
      <c r="S79" s="426"/>
      <c r="T79" s="426"/>
      <c r="U79" s="426"/>
      <c r="V79" s="426"/>
      <c r="W79" s="426"/>
      <c r="X79" s="426"/>
      <c r="Y79" s="426"/>
      <c r="Z79" s="426"/>
      <c r="AA79" s="298"/>
      <c r="AB79" s="298"/>
    </row>
    <row r="80" customFormat="false" ht="12.75" hidden="false" customHeight="false" outlineLevel="0" collapsed="false">
      <c r="A80" s="138"/>
      <c r="B80" s="376" t="s">
        <v>412</v>
      </c>
      <c r="C80" s="436" t="e">
        <f aca="false">AB77</f>
        <v>#N/A</v>
      </c>
      <c r="D80" s="426"/>
      <c r="E80" s="426"/>
      <c r="F80" s="426"/>
      <c r="G80" s="426"/>
      <c r="H80" s="426"/>
      <c r="I80" s="426"/>
      <c r="J80" s="426"/>
      <c r="K80" s="426"/>
      <c r="L80" s="426"/>
      <c r="M80" s="426"/>
      <c r="N80" s="426"/>
      <c r="O80" s="426"/>
      <c r="P80" s="426"/>
      <c r="Q80" s="426"/>
      <c r="R80" s="426"/>
      <c r="S80" s="426"/>
      <c r="T80" s="426"/>
      <c r="U80" s="426"/>
      <c r="V80" s="426"/>
      <c r="W80" s="426"/>
      <c r="X80" s="426"/>
      <c r="Y80" s="426"/>
      <c r="Z80" s="426"/>
      <c r="AA80" s="298"/>
      <c r="AB80" s="298"/>
    </row>
    <row r="81" customFormat="false" ht="13.5" hidden="false" customHeight="false" outlineLevel="0" collapsed="false">
      <c r="A81" s="225"/>
      <c r="B81" s="378" t="s">
        <v>395</v>
      </c>
      <c r="C81" s="379" t="n">
        <f aca="false">MAX(E81:Z81)</f>
        <v>0</v>
      </c>
      <c r="D81" s="455"/>
      <c r="E81" s="455" t="n">
        <f aca="false">IF(AND(D76&lt;0,E76&gt;0),E$6,0)</f>
        <v>0</v>
      </c>
      <c r="F81" s="455" t="n">
        <f aca="false">IF(AND(E76&lt;0,F76&gt;0),F$6,0)</f>
        <v>0</v>
      </c>
      <c r="G81" s="455" t="n">
        <f aca="false">IF(AND(F76&lt;0,G76&gt;0),G$6,0)</f>
        <v>0</v>
      </c>
      <c r="H81" s="455" t="n">
        <f aca="false">IF(AND(G76&lt;0,H76&gt;0),H$6,0)</f>
        <v>0</v>
      </c>
      <c r="I81" s="455" t="n">
        <f aca="false">IF(AND(H76&lt;0,I76&gt;0),I$6,0)</f>
        <v>0</v>
      </c>
      <c r="J81" s="455" t="n">
        <f aca="false">IF(AND(I76&lt;0,J76&gt;0),J$6,0)</f>
        <v>0</v>
      </c>
      <c r="K81" s="455" t="n">
        <f aca="false">IF(AND(J76&lt;0,K76&gt;0),K$6,0)</f>
        <v>0</v>
      </c>
      <c r="L81" s="455" t="n">
        <f aca="false">IF(AND(K76&lt;0,L76&gt;0),L$6,0)</f>
        <v>0</v>
      </c>
      <c r="M81" s="455" t="n">
        <f aca="false">IF(AND(L76&lt;0,M76&gt;0),M$6,0)</f>
        <v>0</v>
      </c>
      <c r="N81" s="455" t="n">
        <f aca="false">IF(AND(M76&lt;0,N76&gt;0),N$6,0)</f>
        <v>0</v>
      </c>
      <c r="O81" s="455" t="n">
        <f aca="false">IF(AND(N76&lt;0,O76&gt;0),O$6,0)</f>
        <v>0</v>
      </c>
      <c r="P81" s="455" t="n">
        <f aca="false">IF(AND(O76&lt;0,P76&gt;0),P$6,0)</f>
        <v>0</v>
      </c>
      <c r="Q81" s="455" t="n">
        <f aca="false">IF(AND(P76&lt;0,Q76&gt;0),Q$6,0)</f>
        <v>0</v>
      </c>
      <c r="R81" s="455" t="n">
        <f aca="false">IF(AND(Q76&lt;0,R76&gt;0),R$6,0)</f>
        <v>0</v>
      </c>
      <c r="S81" s="455" t="n">
        <f aca="false">IF(AND(R76&lt;0,S76&gt;0),S$6,0)</f>
        <v>0</v>
      </c>
      <c r="T81" s="455" t="n">
        <f aca="false">IF(AND(S76&lt;0,T76&gt;0),T$6,0)</f>
        <v>0</v>
      </c>
      <c r="U81" s="455" t="n">
        <f aca="false">IF(AND(T76&lt;0,U76&gt;0),U$6,0)</f>
        <v>0</v>
      </c>
      <c r="V81" s="455" t="n">
        <f aca="false">IF(AND(U76&lt;0,V76&gt;0),V$6,0)</f>
        <v>0</v>
      </c>
      <c r="W81" s="455" t="n">
        <f aca="false">IF(AND(V76&lt;0,W76&gt;0),W$6,0)</f>
        <v>0</v>
      </c>
      <c r="X81" s="455" t="n">
        <f aca="false">IF(AND(W76&lt;0,X76&gt;0),X$6,0)</f>
        <v>0</v>
      </c>
      <c r="Y81" s="455" t="n">
        <f aca="false">IF(AND(X76&lt;0,Y76&gt;0),Y$6,0)</f>
        <v>0</v>
      </c>
      <c r="Z81" s="455" t="n">
        <f aca="false">IF(AND(Y76&lt;0,Z76&gt;0),Z$6,0)</f>
        <v>0</v>
      </c>
      <c r="AA81" s="349"/>
      <c r="AB81" s="34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39"/>
      <c r="FT81" s="39"/>
      <c r="FU81" s="39"/>
      <c r="FV81" s="39"/>
      <c r="FW81" s="39"/>
      <c r="FX81" s="39"/>
      <c r="FY81" s="39"/>
      <c r="FZ81" s="39"/>
      <c r="GA81" s="39"/>
      <c r="GB81" s="39"/>
      <c r="GC81" s="39"/>
      <c r="GD81" s="39"/>
      <c r="GE81" s="39"/>
      <c r="GF81" s="39"/>
      <c r="GG81" s="39"/>
      <c r="GH81" s="39"/>
      <c r="GI81" s="39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  <c r="IA81" s="39"/>
      <c r="IB81" s="39"/>
      <c r="IC81" s="39"/>
      <c r="ID81" s="39"/>
      <c r="IE81" s="39"/>
      <c r="IF81" s="39"/>
      <c r="IG81" s="39"/>
      <c r="IH81" s="39"/>
      <c r="II81" s="39"/>
      <c r="IJ81" s="39"/>
      <c r="IK81" s="39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  <c r="IW81" s="39"/>
    </row>
    <row r="82" customFormat="false" ht="13.5" hidden="false" customHeight="false" outlineLevel="0" collapsed="false">
      <c r="A82" s="138"/>
      <c r="B82" s="38"/>
      <c r="C82" s="38"/>
      <c r="D82" s="426"/>
      <c r="E82" s="426"/>
      <c r="F82" s="426"/>
      <c r="G82" s="426"/>
      <c r="H82" s="426"/>
      <c r="I82" s="426"/>
      <c r="J82" s="426"/>
      <c r="K82" s="426"/>
      <c r="L82" s="426"/>
      <c r="M82" s="426"/>
      <c r="N82" s="426"/>
      <c r="O82" s="426"/>
      <c r="P82" s="426"/>
      <c r="Q82" s="426"/>
      <c r="R82" s="426"/>
      <c r="S82" s="426"/>
      <c r="T82" s="426"/>
      <c r="U82" s="426"/>
      <c r="V82" s="426"/>
      <c r="W82" s="426"/>
      <c r="X82" s="426"/>
      <c r="Y82" s="426"/>
      <c r="Z82" s="426"/>
      <c r="AA82" s="456"/>
      <c r="AB82" s="456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</row>
    <row r="83" customFormat="false" ht="12.75" hidden="false" customHeight="false" outlineLevel="0" collapsed="false">
      <c r="A83" s="361" t="str">
        <f aca="false">CONCATENATE(Assm!H69," Returns")</f>
        <v>Shell Returns</v>
      </c>
      <c r="B83" s="26"/>
      <c r="C83" s="25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87"/>
      <c r="AB83" s="287"/>
    </row>
    <row r="84" customFormat="false" ht="12.75" hidden="false" customHeight="false" outlineLevel="0" collapsed="false">
      <c r="A84" s="457" t="n">
        <f aca="false">Assm!$K$69</f>
        <v>0.375</v>
      </c>
      <c r="B84" s="39" t="s">
        <v>372</v>
      </c>
      <c r="C84" s="39"/>
      <c r="D84" s="315"/>
      <c r="E84" s="61" t="n">
        <f aca="false">E10*$A84</f>
        <v>-2489.23878211857</v>
      </c>
      <c r="F84" s="61" t="n">
        <f aca="false">F10*$A84</f>
        <v>-8434.70352809332</v>
      </c>
      <c r="G84" s="61" t="n">
        <f aca="false">G10*$A84</f>
        <v>-0</v>
      </c>
      <c r="H84" s="61" t="n">
        <f aca="false">H10*$A84</f>
        <v>-0</v>
      </c>
      <c r="I84" s="61" t="n">
        <f aca="false">I10*$A84</f>
        <v>-0</v>
      </c>
      <c r="J84" s="61" t="n">
        <f aca="false">J10*$A84</f>
        <v>-0</v>
      </c>
      <c r="K84" s="61" t="n">
        <f aca="false">K10*$A84</f>
        <v>-0</v>
      </c>
      <c r="L84" s="61" t="n">
        <f aca="false">L10*$A84</f>
        <v>-0</v>
      </c>
      <c r="M84" s="61" t="n">
        <f aca="false">M10*$A84</f>
        <v>-0</v>
      </c>
      <c r="N84" s="61" t="n">
        <f aca="false">N10*$A84</f>
        <v>-0</v>
      </c>
      <c r="O84" s="61" t="n">
        <f aca="false">O10*$A84</f>
        <v>-0</v>
      </c>
      <c r="P84" s="61" t="n">
        <f aca="false">P10*$A84</f>
        <v>-0</v>
      </c>
      <c r="Q84" s="61" t="n">
        <f aca="false">Q10*$A84</f>
        <v>-0</v>
      </c>
      <c r="R84" s="61" t="n">
        <f aca="false">R10*$A84</f>
        <v>-0</v>
      </c>
      <c r="S84" s="61" t="n">
        <f aca="false">S10*$A84</f>
        <v>-0</v>
      </c>
      <c r="T84" s="61" t="n">
        <f aca="false">T10*$A84</f>
        <v>-0</v>
      </c>
      <c r="U84" s="61" t="n">
        <f aca="false">U10*$A84</f>
        <v>-0</v>
      </c>
      <c r="V84" s="61" t="n">
        <f aca="false">V10*$A84</f>
        <v>-0</v>
      </c>
      <c r="W84" s="61" t="n">
        <f aca="false">W10*$A84</f>
        <v>-0</v>
      </c>
      <c r="X84" s="61" t="n">
        <f aca="false">X10*$A84</f>
        <v>-0</v>
      </c>
      <c r="Y84" s="61" t="n">
        <f aca="false">Y10*$A84</f>
        <v>-0</v>
      </c>
      <c r="Z84" s="61" t="n">
        <f aca="false">Z10*$A84</f>
        <v>-0</v>
      </c>
      <c r="AA84" s="304" t="n">
        <f aca="false">SUM(D84:Z84)</f>
        <v>-10923.9423102119</v>
      </c>
      <c r="AB84" s="304" t="n">
        <f aca="false">$E84+NPV(Disc,$F84:Z84)</f>
        <v>-9577.22494018018</v>
      </c>
    </row>
    <row r="85" customFormat="false" ht="12.75" hidden="false" customHeight="false" outlineLevel="0" collapsed="false">
      <c r="A85" s="457" t="n">
        <f aca="false">Assm!$L$69</f>
        <v>0.375</v>
      </c>
      <c r="B85" s="39" t="s">
        <v>373</v>
      </c>
      <c r="C85" s="39"/>
      <c r="D85" s="315"/>
      <c r="E85" s="61" t="n">
        <f aca="false">E$11*$A85</f>
        <v>0</v>
      </c>
      <c r="F85" s="61" t="n">
        <f aca="false">F$11*$A85</f>
        <v>0</v>
      </c>
      <c r="G85" s="61" t="n">
        <f aca="false">G$11*$A85</f>
        <v>0</v>
      </c>
      <c r="H85" s="61" t="n">
        <f aca="false">H$11*$A85</f>
        <v>0</v>
      </c>
      <c r="I85" s="61" t="n">
        <f aca="false">I$11*$A85</f>
        <v>0</v>
      </c>
      <c r="J85" s="61" t="n">
        <f aca="false">J$11*$A85</f>
        <v>0</v>
      </c>
      <c r="K85" s="61" t="n">
        <f aca="false">K$11*$A85</f>
        <v>0</v>
      </c>
      <c r="L85" s="61" t="n">
        <f aca="false">L$11*$A85</f>
        <v>0</v>
      </c>
      <c r="M85" s="61" t="n">
        <f aca="false">M$11*$A85</f>
        <v>0</v>
      </c>
      <c r="N85" s="61" t="n">
        <f aca="false">N$11*$A85</f>
        <v>0</v>
      </c>
      <c r="O85" s="61" t="n">
        <f aca="false">O$11*$A85</f>
        <v>0</v>
      </c>
      <c r="P85" s="61" t="n">
        <f aca="false">P$11*$A85</f>
        <v>0</v>
      </c>
      <c r="Q85" s="61" t="n">
        <f aca="false">Q$11*$A85</f>
        <v>0</v>
      </c>
      <c r="R85" s="61" t="n">
        <f aca="false">R$11*$A85</f>
        <v>0</v>
      </c>
      <c r="S85" s="61" t="n">
        <f aca="false">S$11*$A85</f>
        <v>0</v>
      </c>
      <c r="T85" s="61" t="n">
        <f aca="false">T$11*$A85</f>
        <v>0</v>
      </c>
      <c r="U85" s="61" t="n">
        <f aca="false">U$11*$A85</f>
        <v>0</v>
      </c>
      <c r="V85" s="61" t="n">
        <f aca="false">V$11*$A85</f>
        <v>0</v>
      </c>
      <c r="W85" s="61" t="n">
        <f aca="false">W$11*$A85</f>
        <v>0</v>
      </c>
      <c r="X85" s="61" t="n">
        <f aca="false">X$11*$A85</f>
        <v>1556.3848880917</v>
      </c>
      <c r="Y85" s="61" t="n">
        <f aca="false">Y$11*$A85</f>
        <v>2843.01332457156</v>
      </c>
      <c r="Z85" s="61" t="n">
        <f aca="false">Z$11*$A85</f>
        <v>7690.12632875653</v>
      </c>
      <c r="AA85" s="304" t="n">
        <f aca="false">SUM(D85:Z85)</f>
        <v>12089.5245414198</v>
      </c>
      <c r="AB85" s="304" t="n">
        <f aca="false">$E85+NPV(Disc,$F85:Z85)</f>
        <v>344.051826406518</v>
      </c>
    </row>
    <row r="86" customFormat="false" ht="12.75" hidden="false" customHeight="false" outlineLevel="0" collapsed="false">
      <c r="A86" s="138"/>
      <c r="B86" s="39" t="s">
        <v>384</v>
      </c>
      <c r="C86" s="458" t="n">
        <f aca="false">Wh_Div</f>
        <v>0</v>
      </c>
      <c r="D86" s="459"/>
      <c r="E86" s="61" t="n">
        <f aca="false">-E85*$C86</f>
        <v>-0</v>
      </c>
      <c r="F86" s="61" t="n">
        <f aca="false">-F85*$C86</f>
        <v>-0</v>
      </c>
      <c r="G86" s="61" t="n">
        <f aca="false">-G85*$C86</f>
        <v>-0</v>
      </c>
      <c r="H86" s="61" t="n">
        <f aca="false">-H85*$C86</f>
        <v>-0</v>
      </c>
      <c r="I86" s="61" t="n">
        <f aca="false">-I85*$C86</f>
        <v>-0</v>
      </c>
      <c r="J86" s="61" t="n">
        <f aca="false">-J85*$C86</f>
        <v>-0</v>
      </c>
      <c r="K86" s="61" t="n">
        <f aca="false">-K85*$C86</f>
        <v>-0</v>
      </c>
      <c r="L86" s="61" t="n">
        <f aca="false">-L85*$C86</f>
        <v>-0</v>
      </c>
      <c r="M86" s="61" t="n">
        <f aca="false">-M85*$C86</f>
        <v>-0</v>
      </c>
      <c r="N86" s="61" t="n">
        <f aca="false">-N85*$C86</f>
        <v>-0</v>
      </c>
      <c r="O86" s="61" t="n">
        <f aca="false">-O85*$C86</f>
        <v>-0</v>
      </c>
      <c r="P86" s="61" t="n">
        <f aca="false">-P85*$C86</f>
        <v>-0</v>
      </c>
      <c r="Q86" s="61" t="n">
        <f aca="false">-Q85*$C86</f>
        <v>-0</v>
      </c>
      <c r="R86" s="61" t="n">
        <f aca="false">-R85*$C86</f>
        <v>-0</v>
      </c>
      <c r="S86" s="61" t="n">
        <f aca="false">-S85*$C86</f>
        <v>-0</v>
      </c>
      <c r="T86" s="61" t="n">
        <f aca="false">-T85*$C86</f>
        <v>-0</v>
      </c>
      <c r="U86" s="61" t="n">
        <f aca="false">-U85*$C86</f>
        <v>-0</v>
      </c>
      <c r="V86" s="61" t="n">
        <f aca="false">-V85*$C86</f>
        <v>-0</v>
      </c>
      <c r="W86" s="61" t="n">
        <f aca="false">-W85*$C86</f>
        <v>-0</v>
      </c>
      <c r="X86" s="61" t="n">
        <f aca="false">-X85*$C86</f>
        <v>-0</v>
      </c>
      <c r="Y86" s="61" t="n">
        <f aca="false">-Y85*$C86</f>
        <v>-0</v>
      </c>
      <c r="Z86" s="61" t="n">
        <f aca="false">-Z85*$C86</f>
        <v>-0</v>
      </c>
      <c r="AA86" s="304" t="n">
        <f aca="false">SUM(D86:Z86)</f>
        <v>0</v>
      </c>
      <c r="AB86" s="304" t="n">
        <f aca="false">$E86+NPV(Disc,$F86:Z86)</f>
        <v>0</v>
      </c>
      <c r="AD86" s="369"/>
      <c r="AE86" s="369"/>
      <c r="AF86" s="369"/>
      <c r="AG86" s="369"/>
      <c r="AH86" s="369"/>
      <c r="AI86" s="369"/>
      <c r="AJ86" s="369"/>
      <c r="AK86" s="369"/>
      <c r="AL86" s="369"/>
      <c r="AM86" s="369"/>
      <c r="AN86" s="369"/>
      <c r="AO86" s="369"/>
      <c r="AP86" s="369"/>
      <c r="AQ86" s="369"/>
      <c r="AR86" s="369"/>
      <c r="AS86" s="369"/>
      <c r="AT86" s="369"/>
      <c r="AU86" s="369"/>
      <c r="AV86" s="369"/>
      <c r="AW86" s="369"/>
      <c r="AX86" s="369"/>
      <c r="AY86" s="369"/>
      <c r="AZ86" s="369"/>
      <c r="BA86" s="369"/>
      <c r="BB86" s="369"/>
      <c r="BC86" s="369"/>
      <c r="BD86" s="369"/>
      <c r="BE86" s="369"/>
      <c r="BF86" s="369"/>
      <c r="BG86" s="369"/>
      <c r="BH86" s="369"/>
      <c r="BI86" s="369"/>
      <c r="BJ86" s="369"/>
      <c r="BK86" s="369"/>
      <c r="BL86" s="369"/>
      <c r="BM86" s="369"/>
      <c r="BN86" s="369"/>
      <c r="BO86" s="369"/>
      <c r="BP86" s="369"/>
      <c r="BQ86" s="369"/>
      <c r="BR86" s="369"/>
      <c r="BS86" s="369"/>
      <c r="BT86" s="369"/>
      <c r="BU86" s="369"/>
      <c r="BV86" s="369"/>
      <c r="BW86" s="369"/>
      <c r="BX86" s="369"/>
      <c r="BY86" s="369"/>
      <c r="BZ86" s="369"/>
      <c r="CA86" s="369"/>
      <c r="CB86" s="369"/>
      <c r="CC86" s="369"/>
      <c r="CD86" s="369"/>
      <c r="CE86" s="369"/>
      <c r="CF86" s="369"/>
      <c r="CG86" s="369"/>
      <c r="CH86" s="369"/>
      <c r="CI86" s="369"/>
      <c r="CJ86" s="369"/>
      <c r="CK86" s="369"/>
      <c r="CL86" s="369"/>
      <c r="CM86" s="369"/>
      <c r="CN86" s="369"/>
      <c r="CO86" s="369"/>
      <c r="CP86" s="369"/>
      <c r="CQ86" s="369"/>
      <c r="CR86" s="369"/>
      <c r="CS86" s="369"/>
      <c r="CT86" s="369"/>
      <c r="CU86" s="369"/>
      <c r="CV86" s="369"/>
      <c r="CW86" s="369"/>
      <c r="CX86" s="369"/>
      <c r="CY86" s="369"/>
      <c r="CZ86" s="369"/>
      <c r="DA86" s="369"/>
      <c r="DB86" s="369"/>
      <c r="DC86" s="369"/>
      <c r="DD86" s="369"/>
      <c r="DE86" s="369"/>
      <c r="DF86" s="369"/>
      <c r="DG86" s="369"/>
      <c r="DH86" s="369"/>
      <c r="DI86" s="369"/>
      <c r="DJ86" s="369"/>
      <c r="DK86" s="369"/>
      <c r="DL86" s="369"/>
      <c r="DM86" s="369"/>
      <c r="DN86" s="369"/>
      <c r="DO86" s="369"/>
      <c r="DP86" s="369"/>
      <c r="DQ86" s="369"/>
      <c r="DR86" s="369"/>
      <c r="DS86" s="369"/>
      <c r="DT86" s="369"/>
      <c r="DU86" s="369"/>
      <c r="DV86" s="369"/>
      <c r="DW86" s="369"/>
      <c r="DX86" s="369"/>
      <c r="DY86" s="369"/>
      <c r="DZ86" s="369"/>
      <c r="EA86" s="369"/>
      <c r="EB86" s="369"/>
      <c r="EC86" s="369"/>
      <c r="ED86" s="369"/>
      <c r="EE86" s="369"/>
      <c r="EF86" s="369"/>
      <c r="EG86" s="369"/>
      <c r="EH86" s="369"/>
      <c r="EI86" s="369"/>
      <c r="EJ86" s="369"/>
      <c r="EK86" s="369"/>
      <c r="EL86" s="369"/>
      <c r="EM86" s="369"/>
      <c r="EN86" s="369"/>
      <c r="EO86" s="369"/>
      <c r="EP86" s="369"/>
      <c r="EQ86" s="369"/>
      <c r="ER86" s="369"/>
      <c r="ES86" s="369"/>
      <c r="ET86" s="369"/>
      <c r="EU86" s="369"/>
      <c r="EV86" s="369"/>
      <c r="EW86" s="369"/>
      <c r="EX86" s="369"/>
      <c r="EY86" s="369"/>
      <c r="EZ86" s="369"/>
      <c r="FA86" s="369"/>
      <c r="FB86" s="369"/>
      <c r="FC86" s="369"/>
      <c r="FD86" s="369"/>
      <c r="FE86" s="369"/>
      <c r="FF86" s="369"/>
      <c r="FG86" s="369"/>
      <c r="FH86" s="369"/>
      <c r="FI86" s="369"/>
      <c r="FJ86" s="369"/>
      <c r="FK86" s="369"/>
      <c r="FL86" s="369"/>
      <c r="FM86" s="369"/>
      <c r="FN86" s="369"/>
      <c r="FO86" s="369"/>
      <c r="FP86" s="369"/>
      <c r="FQ86" s="369"/>
      <c r="FR86" s="369"/>
      <c r="FS86" s="369"/>
      <c r="FT86" s="369"/>
      <c r="FU86" s="369"/>
      <c r="FV86" s="369"/>
      <c r="FW86" s="369"/>
      <c r="FX86" s="369"/>
      <c r="FY86" s="369"/>
      <c r="FZ86" s="369"/>
      <c r="GA86" s="369"/>
      <c r="GB86" s="369"/>
      <c r="GC86" s="369"/>
      <c r="GD86" s="369"/>
      <c r="GE86" s="369"/>
      <c r="GF86" s="369"/>
      <c r="GG86" s="369"/>
      <c r="GH86" s="369"/>
      <c r="GI86" s="369"/>
      <c r="GJ86" s="369"/>
      <c r="GK86" s="369"/>
      <c r="GL86" s="369"/>
      <c r="GM86" s="369"/>
      <c r="GN86" s="369"/>
      <c r="GO86" s="369"/>
      <c r="GP86" s="369"/>
      <c r="GQ86" s="369"/>
      <c r="GR86" s="369"/>
      <c r="GS86" s="369"/>
      <c r="GT86" s="369"/>
      <c r="GU86" s="369"/>
      <c r="GV86" s="369"/>
      <c r="GW86" s="369"/>
      <c r="GX86" s="369"/>
      <c r="GY86" s="369"/>
      <c r="GZ86" s="369"/>
      <c r="HA86" s="369"/>
      <c r="HB86" s="369"/>
      <c r="HC86" s="369"/>
      <c r="HD86" s="369"/>
      <c r="HE86" s="369"/>
      <c r="HF86" s="369"/>
      <c r="HG86" s="369"/>
      <c r="HH86" s="369"/>
      <c r="HI86" s="369"/>
      <c r="HJ86" s="369"/>
      <c r="HK86" s="369"/>
      <c r="HL86" s="369"/>
      <c r="HM86" s="369"/>
      <c r="HN86" s="369"/>
      <c r="HO86" s="369"/>
      <c r="HP86" s="369"/>
      <c r="HQ86" s="369"/>
      <c r="HR86" s="369"/>
      <c r="HS86" s="369"/>
      <c r="HT86" s="369"/>
      <c r="HU86" s="369"/>
      <c r="HV86" s="369"/>
      <c r="HW86" s="369"/>
      <c r="HX86" s="369"/>
      <c r="HY86" s="369"/>
      <c r="HZ86" s="369"/>
      <c r="IA86" s="369"/>
      <c r="IB86" s="369"/>
      <c r="IC86" s="369"/>
      <c r="ID86" s="369"/>
      <c r="IE86" s="369"/>
      <c r="IF86" s="369"/>
      <c r="IG86" s="369"/>
      <c r="IH86" s="369"/>
      <c r="II86" s="369"/>
      <c r="IJ86" s="369"/>
      <c r="IK86" s="369"/>
      <c r="IL86" s="369"/>
      <c r="IM86" s="369"/>
      <c r="IN86" s="369"/>
      <c r="IO86" s="369"/>
      <c r="IP86" s="369"/>
      <c r="IQ86" s="369"/>
      <c r="IR86" s="369"/>
      <c r="IS86" s="369"/>
      <c r="IT86" s="369"/>
      <c r="IU86" s="369"/>
      <c r="IV86" s="369"/>
      <c r="IW86" s="369"/>
    </row>
    <row r="87" customFormat="false" ht="12.75" hidden="false" customHeight="false" outlineLevel="0" collapsed="false">
      <c r="A87" s="138"/>
      <c r="B87" s="39" t="s">
        <v>377</v>
      </c>
      <c r="C87" s="155"/>
      <c r="D87" s="364"/>
      <c r="E87" s="229" t="n">
        <f aca="false">E$15*$A85</f>
        <v>0</v>
      </c>
      <c r="F87" s="229" t="n">
        <f aca="false">F$15*$A85</f>
        <v>0</v>
      </c>
      <c r="G87" s="229" t="n">
        <f aca="false">G$15*$A85</f>
        <v>0</v>
      </c>
      <c r="H87" s="229" t="n">
        <f aca="false">H$15*$A85</f>
        <v>0</v>
      </c>
      <c r="I87" s="229" t="n">
        <f aca="false">I$15*$A85</f>
        <v>0</v>
      </c>
      <c r="J87" s="229" t="n">
        <f aca="false">J$15*$A85</f>
        <v>0</v>
      </c>
      <c r="K87" s="229" t="n">
        <f aca="false">K$15*$A85</f>
        <v>0</v>
      </c>
      <c r="L87" s="229" t="n">
        <f aca="false">L$15*$A85</f>
        <v>0</v>
      </c>
      <c r="M87" s="229" t="n">
        <f aca="false">M$15*$A85</f>
        <v>0</v>
      </c>
      <c r="N87" s="229" t="n">
        <f aca="false">N$15*$A85</f>
        <v>0</v>
      </c>
      <c r="O87" s="229" t="n">
        <f aca="false">O$15*$A85</f>
        <v>0</v>
      </c>
      <c r="P87" s="229" t="n">
        <f aca="false">P$15*$A85</f>
        <v>0</v>
      </c>
      <c r="Q87" s="229" t="n">
        <f aca="false">Q$15*$A85</f>
        <v>0</v>
      </c>
      <c r="R87" s="229" t="n">
        <f aca="false">R$15*$A85</f>
        <v>0</v>
      </c>
      <c r="S87" s="229" t="n">
        <f aca="false">S$15*$A85</f>
        <v>0</v>
      </c>
      <c r="T87" s="229" t="n">
        <f aca="false">T$15*$A85</f>
        <v>0</v>
      </c>
      <c r="U87" s="229" t="n">
        <f aca="false">U$15*$A85</f>
        <v>0</v>
      </c>
      <c r="V87" s="229" t="n">
        <f aca="false">V$15*$A85</f>
        <v>0</v>
      </c>
      <c r="W87" s="229" t="n">
        <f aca="false">W$15*$A85</f>
        <v>0</v>
      </c>
      <c r="X87" s="229" t="n">
        <f aca="false">X$15*$A85</f>
        <v>0</v>
      </c>
      <c r="Y87" s="229" t="n">
        <f aca="false">Y$15*$A85</f>
        <v>0</v>
      </c>
      <c r="Z87" s="229" t="n">
        <f aca="false">Z$15*$A85</f>
        <v>72033.4256096921</v>
      </c>
      <c r="AA87" s="304" t="n">
        <f aca="false">SUM(D87:Z87)</f>
        <v>72033.4256096921</v>
      </c>
      <c r="AB87" s="304" t="n">
        <f aca="false">$E87+NPV(Disc,$F87:Z87)</f>
        <v>1866.58546320956</v>
      </c>
    </row>
    <row r="88" customFormat="false" ht="12.75" hidden="false" customHeight="false" outlineLevel="0" collapsed="false">
      <c r="A88" s="138"/>
      <c r="B88" s="39" t="s">
        <v>413</v>
      </c>
      <c r="C88" s="39"/>
      <c r="D88" s="459"/>
      <c r="E88" s="61" t="n">
        <f aca="false">E$14*$A85</f>
        <v>0</v>
      </c>
      <c r="F88" s="61" t="n">
        <f aca="false">F$14*$A85</f>
        <v>0</v>
      </c>
      <c r="G88" s="61" t="n">
        <f aca="false">G$14*$A85</f>
        <v>0</v>
      </c>
      <c r="H88" s="61" t="n">
        <f aca="false">H$14*$A85</f>
        <v>156.454004516699</v>
      </c>
      <c r="I88" s="61" t="n">
        <f aca="false">I$14*$A85</f>
        <v>-1909.98931117142</v>
      </c>
      <c r="J88" s="61" t="n">
        <f aca="false">J$14*$A85</f>
        <v>-2320.55226658625</v>
      </c>
      <c r="K88" s="61" t="n">
        <f aca="false">K$14*$A85</f>
        <v>-1855.95022547599</v>
      </c>
      <c r="L88" s="61" t="n">
        <f aca="false">L$14*$A85</f>
        <v>-1994.77608590007</v>
      </c>
      <c r="M88" s="61" t="n">
        <f aca="false">M$14*$A85</f>
        <v>-2035.3543490603</v>
      </c>
      <c r="N88" s="61" t="n">
        <f aca="false">N$14*$A85</f>
        <v>-1893.85809236013</v>
      </c>
      <c r="O88" s="61" t="n">
        <f aca="false">O$14*$A85</f>
        <v>-672.714489819091</v>
      </c>
      <c r="P88" s="61" t="n">
        <f aca="false">P$14*$A85</f>
        <v>338.19827604216</v>
      </c>
      <c r="Q88" s="61" t="n">
        <f aca="false">Q$14*$A85</f>
        <v>524.564962061656</v>
      </c>
      <c r="R88" s="61" t="n">
        <f aca="false">R$14*$A85</f>
        <v>389.392188177179</v>
      </c>
      <c r="S88" s="61" t="n">
        <f aca="false">S$14*$A85</f>
        <v>263.141871084107</v>
      </c>
      <c r="T88" s="61" t="n">
        <f aca="false">T$14*$A85</f>
        <v>1486.52898987386</v>
      </c>
      <c r="U88" s="61" t="n">
        <f aca="false">U$14*$A85</f>
        <v>1942.87324521989</v>
      </c>
      <c r="V88" s="61" t="n">
        <f aca="false">V$14*$A85</f>
        <v>2926.91492253799</v>
      </c>
      <c r="W88" s="61" t="n">
        <f aca="false">W$14*$A85</f>
        <v>4890.28533604579</v>
      </c>
      <c r="X88" s="61" t="n">
        <f aca="false">X$14*$A85</f>
        <v>3456.4221451601</v>
      </c>
      <c r="Y88" s="61" t="n">
        <f aca="false">Y$14*$A85</f>
        <v>2370.22508706923</v>
      </c>
      <c r="Z88" s="61" t="n">
        <f aca="false">Z$14*$A85</f>
        <v>-6061.80620741541</v>
      </c>
      <c r="AA88" s="304" t="n">
        <f aca="false">SUM(D88:Z88)</f>
        <v>0</v>
      </c>
      <c r="AB88" s="304" t="n">
        <f aca="false">$E88+NPV(Disc,$F88:Z88)</f>
        <v>-3279.31469207961</v>
      </c>
      <c r="AD88" s="369"/>
      <c r="AE88" s="369"/>
      <c r="AF88" s="369"/>
      <c r="AG88" s="369"/>
      <c r="AH88" s="369"/>
      <c r="AI88" s="369"/>
      <c r="AJ88" s="369"/>
      <c r="AK88" s="369"/>
      <c r="AL88" s="369"/>
      <c r="AM88" s="369"/>
      <c r="AN88" s="369"/>
      <c r="AO88" s="369"/>
      <c r="AP88" s="369"/>
      <c r="AQ88" s="369"/>
      <c r="AR88" s="369"/>
      <c r="AS88" s="369"/>
      <c r="AT88" s="369"/>
      <c r="AU88" s="369"/>
      <c r="AV88" s="369"/>
      <c r="AW88" s="369"/>
      <c r="AX88" s="369"/>
      <c r="AY88" s="369"/>
      <c r="AZ88" s="369"/>
      <c r="BA88" s="369"/>
      <c r="BB88" s="369"/>
      <c r="BC88" s="369"/>
      <c r="BD88" s="369"/>
      <c r="BE88" s="369"/>
      <c r="BF88" s="369"/>
      <c r="BG88" s="369"/>
      <c r="BH88" s="369"/>
      <c r="BI88" s="369"/>
      <c r="BJ88" s="369"/>
      <c r="BK88" s="369"/>
      <c r="BL88" s="369"/>
      <c r="BM88" s="369"/>
      <c r="BN88" s="369"/>
      <c r="BO88" s="369"/>
      <c r="BP88" s="369"/>
      <c r="BQ88" s="369"/>
      <c r="BR88" s="369"/>
      <c r="BS88" s="369"/>
      <c r="BT88" s="369"/>
      <c r="BU88" s="369"/>
      <c r="BV88" s="369"/>
      <c r="BW88" s="369"/>
      <c r="BX88" s="369"/>
      <c r="BY88" s="369"/>
      <c r="BZ88" s="369"/>
      <c r="CA88" s="369"/>
      <c r="CB88" s="369"/>
      <c r="CC88" s="369"/>
      <c r="CD88" s="369"/>
      <c r="CE88" s="369"/>
      <c r="CF88" s="369"/>
      <c r="CG88" s="369"/>
      <c r="CH88" s="369"/>
      <c r="CI88" s="369"/>
      <c r="CJ88" s="369"/>
      <c r="CK88" s="369"/>
      <c r="CL88" s="369"/>
      <c r="CM88" s="369"/>
      <c r="CN88" s="369"/>
      <c r="CO88" s="369"/>
      <c r="CP88" s="369"/>
      <c r="CQ88" s="369"/>
      <c r="CR88" s="369"/>
      <c r="CS88" s="369"/>
      <c r="CT88" s="369"/>
      <c r="CU88" s="369"/>
      <c r="CV88" s="369"/>
      <c r="CW88" s="369"/>
      <c r="CX88" s="369"/>
      <c r="CY88" s="369"/>
      <c r="CZ88" s="369"/>
      <c r="DA88" s="369"/>
      <c r="DB88" s="369"/>
      <c r="DC88" s="369"/>
      <c r="DD88" s="369"/>
      <c r="DE88" s="369"/>
      <c r="DF88" s="369"/>
      <c r="DG88" s="369"/>
      <c r="DH88" s="369"/>
      <c r="DI88" s="369"/>
      <c r="DJ88" s="369"/>
      <c r="DK88" s="369"/>
      <c r="DL88" s="369"/>
      <c r="DM88" s="369"/>
      <c r="DN88" s="369"/>
      <c r="DO88" s="369"/>
      <c r="DP88" s="369"/>
      <c r="DQ88" s="369"/>
      <c r="DR88" s="369"/>
      <c r="DS88" s="369"/>
      <c r="DT88" s="369"/>
      <c r="DU88" s="369"/>
      <c r="DV88" s="369"/>
      <c r="DW88" s="369"/>
      <c r="DX88" s="369"/>
      <c r="DY88" s="369"/>
      <c r="DZ88" s="369"/>
      <c r="EA88" s="369"/>
      <c r="EB88" s="369"/>
      <c r="EC88" s="369"/>
      <c r="ED88" s="369"/>
      <c r="EE88" s="369"/>
      <c r="EF88" s="369"/>
      <c r="EG88" s="369"/>
      <c r="EH88" s="369"/>
      <c r="EI88" s="369"/>
      <c r="EJ88" s="369"/>
      <c r="EK88" s="369"/>
      <c r="EL88" s="369"/>
      <c r="EM88" s="369"/>
      <c r="EN88" s="369"/>
      <c r="EO88" s="369"/>
      <c r="EP88" s="369"/>
      <c r="EQ88" s="369"/>
      <c r="ER88" s="369"/>
      <c r="ES88" s="369"/>
      <c r="ET88" s="369"/>
      <c r="EU88" s="369"/>
      <c r="EV88" s="369"/>
      <c r="EW88" s="369"/>
      <c r="EX88" s="369"/>
      <c r="EY88" s="369"/>
      <c r="EZ88" s="369"/>
      <c r="FA88" s="369"/>
      <c r="FB88" s="369"/>
      <c r="FC88" s="369"/>
      <c r="FD88" s="369"/>
      <c r="FE88" s="369"/>
      <c r="FF88" s="369"/>
      <c r="FG88" s="369"/>
      <c r="FH88" s="369"/>
      <c r="FI88" s="369"/>
      <c r="FJ88" s="369"/>
      <c r="FK88" s="369"/>
      <c r="FL88" s="369"/>
      <c r="FM88" s="369"/>
      <c r="FN88" s="369"/>
      <c r="FO88" s="369"/>
      <c r="FP88" s="369"/>
      <c r="FQ88" s="369"/>
      <c r="FR88" s="369"/>
      <c r="FS88" s="369"/>
      <c r="FT88" s="369"/>
      <c r="FU88" s="369"/>
      <c r="FV88" s="369"/>
      <c r="FW88" s="369"/>
      <c r="FX88" s="369"/>
      <c r="FY88" s="369"/>
      <c r="FZ88" s="369"/>
      <c r="GA88" s="369"/>
      <c r="GB88" s="369"/>
      <c r="GC88" s="369"/>
      <c r="GD88" s="369"/>
      <c r="GE88" s="369"/>
      <c r="GF88" s="369"/>
      <c r="GG88" s="369"/>
      <c r="GH88" s="369"/>
      <c r="GI88" s="369"/>
      <c r="GJ88" s="369"/>
      <c r="GK88" s="369"/>
      <c r="GL88" s="369"/>
      <c r="GM88" s="369"/>
      <c r="GN88" s="369"/>
      <c r="GO88" s="369"/>
      <c r="GP88" s="369"/>
      <c r="GQ88" s="369"/>
      <c r="GR88" s="369"/>
      <c r="GS88" s="369"/>
      <c r="GT88" s="369"/>
      <c r="GU88" s="369"/>
      <c r="GV88" s="369"/>
      <c r="GW88" s="369"/>
      <c r="GX88" s="369"/>
      <c r="GY88" s="369"/>
      <c r="GZ88" s="369"/>
      <c r="HA88" s="369"/>
      <c r="HB88" s="369"/>
      <c r="HC88" s="369"/>
      <c r="HD88" s="369"/>
      <c r="HE88" s="369"/>
      <c r="HF88" s="369"/>
      <c r="HG88" s="369"/>
      <c r="HH88" s="369"/>
      <c r="HI88" s="369"/>
      <c r="HJ88" s="369"/>
      <c r="HK88" s="369"/>
      <c r="HL88" s="369"/>
      <c r="HM88" s="369"/>
      <c r="HN88" s="369"/>
      <c r="HO88" s="369"/>
      <c r="HP88" s="369"/>
      <c r="HQ88" s="369"/>
      <c r="HR88" s="369"/>
      <c r="HS88" s="369"/>
      <c r="HT88" s="369"/>
      <c r="HU88" s="369"/>
      <c r="HV88" s="369"/>
      <c r="HW88" s="369"/>
      <c r="HX88" s="369"/>
      <c r="HY88" s="369"/>
      <c r="HZ88" s="369"/>
      <c r="IA88" s="369"/>
      <c r="IB88" s="369"/>
      <c r="IC88" s="369"/>
      <c r="ID88" s="369"/>
      <c r="IE88" s="369"/>
      <c r="IF88" s="369"/>
      <c r="IG88" s="369"/>
      <c r="IH88" s="369"/>
      <c r="II88" s="369"/>
      <c r="IJ88" s="369"/>
      <c r="IK88" s="369"/>
      <c r="IL88" s="369"/>
      <c r="IM88" s="369"/>
      <c r="IN88" s="369"/>
      <c r="IO88" s="369"/>
      <c r="IP88" s="369"/>
      <c r="IQ88" s="369"/>
      <c r="IR88" s="369"/>
      <c r="IS88" s="369"/>
      <c r="IT88" s="369"/>
      <c r="IU88" s="369"/>
      <c r="IV88" s="369"/>
      <c r="IW88" s="369"/>
    </row>
    <row r="89" customFormat="false" ht="12.75" hidden="false" customHeight="false" outlineLevel="0" collapsed="false">
      <c r="A89" s="138"/>
      <c r="B89" s="39" t="s">
        <v>414</v>
      </c>
      <c r="C89" s="311" t="s">
        <v>235</v>
      </c>
      <c r="D89" s="459"/>
      <c r="E89" s="229" t="n">
        <f aca="false">IF(E$7&lt;YEAR(Startops1),0,-Trapped!D$40*$A85)</f>
        <v>0</v>
      </c>
      <c r="F89" s="229" t="n">
        <f aca="false">IF(F$7&lt;YEAR(Startops1),0,-Trapped!E$40*$A85)</f>
        <v>0</v>
      </c>
      <c r="G89" s="229" t="n">
        <f aca="false">IF(G$7&lt;YEAR(Startops1),0,-Trapped!F$40*$A85)</f>
        <v>0</v>
      </c>
      <c r="H89" s="229" t="n">
        <f aca="false">IF(H$7&lt;YEAR(Startops1),0,-Trapped!G$40*$A85)</f>
        <v>-0</v>
      </c>
      <c r="I89" s="229" t="n">
        <f aca="false">IF(I$7&lt;YEAR(Startops1),0,-Trapped!H$40*$A85)</f>
        <v>-0</v>
      </c>
      <c r="J89" s="229" t="n">
        <f aca="false">IF(J$7&lt;YEAR(Startops1),0,-Trapped!I$40*$A85)</f>
        <v>-9.38724027100191</v>
      </c>
      <c r="K89" s="229" t="n">
        <f aca="false">IF(K$7&lt;YEAR(Startops1),0,-Trapped!J$40*$A85)</f>
        <v>-9.38724027100191</v>
      </c>
      <c r="L89" s="229" t="n">
        <f aca="false">IF(L$7&lt;YEAR(Startops1),0,-Trapped!K$40*$A85)</f>
        <v>105.212118399283</v>
      </c>
      <c r="M89" s="229" t="n">
        <f aca="false">IF(M$7&lt;YEAR(Startops1),0,-Trapped!L$40*$A85)</f>
        <v>244.445254394458</v>
      </c>
      <c r="N89" s="229" t="n">
        <f aca="false">IF(N$7&lt;YEAR(Startops1),0,-Trapped!M$40*$A85)</f>
        <v>355.802267923017</v>
      </c>
      <c r="O89" s="229" t="n">
        <f aca="false">IF(O$7&lt;YEAR(Startops1),0,-Trapped!N$40*$A85)</f>
        <v>475.488833077021</v>
      </c>
      <c r="P89" s="229" t="n">
        <f aca="false">IF(P$7&lt;YEAR(Startops1),0,-Trapped!O$40*$A85)</f>
        <v>597.61009402064</v>
      </c>
      <c r="Q89" s="229" t="n">
        <f aca="false">IF(Q$7&lt;YEAR(Startops1),0,-Trapped!P$40*$A85)</f>
        <v>711.241579562248</v>
      </c>
      <c r="R89" s="229" t="n">
        <f aca="false">IF(R$7&lt;YEAR(Startops1),0,-Trapped!Q$40*$A85)</f>
        <v>731.312552388863</v>
      </c>
      <c r="S89" s="229" t="n">
        <f aca="false">IF(S$7&lt;YEAR(Startops1),0,-Trapped!R$40*$A85)</f>
        <v>699.838654665164</v>
      </c>
      <c r="T89" s="229" t="n">
        <f aca="false">IF(T$7&lt;YEAR(Startops1),0,-Trapped!S$40*$A85)</f>
        <v>676.475123374533</v>
      </c>
      <c r="U89" s="229" t="n">
        <f aca="false">IF(U$7&lt;YEAR(Startops1),0,-Trapped!T$40*$A85)</f>
        <v>660.686611109487</v>
      </c>
      <c r="V89" s="229" t="n">
        <f aca="false">IF(V$7&lt;YEAR(Startops1),0,-Trapped!U$40*$A85)</f>
        <v>571.494871717055</v>
      </c>
      <c r="W89" s="229" t="n">
        <f aca="false">IF(W$7&lt;YEAR(Startops1),0,-Trapped!V$40*$A85)</f>
        <v>454.922477003862</v>
      </c>
      <c r="X89" s="229" t="n">
        <f aca="false">IF(X$7&lt;YEAR(Startops1),0,-Trapped!W$40*$A85)</f>
        <v>279.307581651582</v>
      </c>
      <c r="Y89" s="229" t="n">
        <f aca="false">IF(Y$7&lt;YEAR(Startops1),0,-Trapped!X$40*$A85)</f>
        <v>-14.1095385111648</v>
      </c>
      <c r="Z89" s="229" t="n">
        <f aca="false">IF(Z$7&lt;YEAR(Startops1),0,-Trapped!Y$40*$A85)</f>
        <v>-221.494867220771</v>
      </c>
      <c r="AA89" s="304" t="n">
        <f aca="false">SUM(D89:Z89)</f>
        <v>6309.45913301328</v>
      </c>
      <c r="AB89" s="304" t="n">
        <f aca="false">$E89+NPV(Disc,$F89:Z89)</f>
        <v>700.67279474146</v>
      </c>
      <c r="AD89" s="369"/>
      <c r="AE89" s="369"/>
      <c r="AF89" s="369"/>
      <c r="AG89" s="369"/>
      <c r="AH89" s="369"/>
      <c r="AI89" s="369"/>
      <c r="AJ89" s="369"/>
      <c r="AK89" s="369"/>
      <c r="AL89" s="369"/>
      <c r="AM89" s="369"/>
      <c r="AN89" s="369"/>
      <c r="AO89" s="369"/>
      <c r="AP89" s="369"/>
      <c r="AQ89" s="369"/>
      <c r="AR89" s="369"/>
      <c r="AS89" s="369"/>
      <c r="AT89" s="369"/>
      <c r="AU89" s="369"/>
      <c r="AV89" s="369"/>
      <c r="AW89" s="369"/>
      <c r="AX89" s="369"/>
      <c r="AY89" s="369"/>
      <c r="AZ89" s="369"/>
      <c r="BA89" s="369"/>
      <c r="BB89" s="369"/>
      <c r="BC89" s="369"/>
      <c r="BD89" s="369"/>
      <c r="BE89" s="369"/>
      <c r="BF89" s="369"/>
      <c r="BG89" s="369"/>
      <c r="BH89" s="369"/>
      <c r="BI89" s="369"/>
      <c r="BJ89" s="369"/>
      <c r="BK89" s="369"/>
      <c r="BL89" s="369"/>
      <c r="BM89" s="369"/>
      <c r="BN89" s="369"/>
      <c r="BO89" s="369"/>
      <c r="BP89" s="369"/>
      <c r="BQ89" s="369"/>
      <c r="BR89" s="369"/>
      <c r="BS89" s="369"/>
      <c r="BT89" s="369"/>
      <c r="BU89" s="369"/>
      <c r="BV89" s="369"/>
      <c r="BW89" s="369"/>
      <c r="BX89" s="369"/>
      <c r="BY89" s="369"/>
      <c r="BZ89" s="369"/>
      <c r="CA89" s="369"/>
      <c r="CB89" s="369"/>
      <c r="CC89" s="369"/>
      <c r="CD89" s="369"/>
      <c r="CE89" s="369"/>
      <c r="CF89" s="369"/>
      <c r="CG89" s="369"/>
      <c r="CH89" s="369"/>
      <c r="CI89" s="369"/>
      <c r="CJ89" s="369"/>
      <c r="CK89" s="369"/>
      <c r="CL89" s="369"/>
      <c r="CM89" s="369"/>
      <c r="CN89" s="369"/>
      <c r="CO89" s="369"/>
      <c r="CP89" s="369"/>
      <c r="CQ89" s="369"/>
      <c r="CR89" s="369"/>
      <c r="CS89" s="369"/>
      <c r="CT89" s="369"/>
      <c r="CU89" s="369"/>
      <c r="CV89" s="369"/>
      <c r="CW89" s="369"/>
      <c r="CX89" s="369"/>
      <c r="CY89" s="369"/>
      <c r="CZ89" s="369"/>
      <c r="DA89" s="369"/>
      <c r="DB89" s="369"/>
      <c r="DC89" s="369"/>
      <c r="DD89" s="369"/>
      <c r="DE89" s="369"/>
      <c r="DF89" s="369"/>
      <c r="DG89" s="369"/>
      <c r="DH89" s="369"/>
      <c r="DI89" s="369"/>
      <c r="DJ89" s="369"/>
      <c r="DK89" s="369"/>
      <c r="DL89" s="369"/>
      <c r="DM89" s="369"/>
      <c r="DN89" s="369"/>
      <c r="DO89" s="369"/>
      <c r="DP89" s="369"/>
      <c r="DQ89" s="369"/>
      <c r="DR89" s="369"/>
      <c r="DS89" s="369"/>
      <c r="DT89" s="369"/>
      <c r="DU89" s="369"/>
      <c r="DV89" s="369"/>
      <c r="DW89" s="369"/>
      <c r="DX89" s="369"/>
      <c r="DY89" s="369"/>
      <c r="DZ89" s="369"/>
      <c r="EA89" s="369"/>
      <c r="EB89" s="369"/>
      <c r="EC89" s="369"/>
      <c r="ED89" s="369"/>
      <c r="EE89" s="369"/>
      <c r="EF89" s="369"/>
      <c r="EG89" s="369"/>
      <c r="EH89" s="369"/>
      <c r="EI89" s="369"/>
      <c r="EJ89" s="369"/>
      <c r="EK89" s="369"/>
      <c r="EL89" s="369"/>
      <c r="EM89" s="369"/>
      <c r="EN89" s="369"/>
      <c r="EO89" s="369"/>
      <c r="EP89" s="369"/>
      <c r="EQ89" s="369"/>
      <c r="ER89" s="369"/>
      <c r="ES89" s="369"/>
      <c r="ET89" s="369"/>
      <c r="EU89" s="369"/>
      <c r="EV89" s="369"/>
      <c r="EW89" s="369"/>
      <c r="EX89" s="369"/>
      <c r="EY89" s="369"/>
      <c r="EZ89" s="369"/>
      <c r="FA89" s="369"/>
      <c r="FB89" s="369"/>
      <c r="FC89" s="369"/>
      <c r="FD89" s="369"/>
      <c r="FE89" s="369"/>
      <c r="FF89" s="369"/>
      <c r="FG89" s="369"/>
      <c r="FH89" s="369"/>
      <c r="FI89" s="369"/>
      <c r="FJ89" s="369"/>
      <c r="FK89" s="369"/>
      <c r="FL89" s="369"/>
      <c r="FM89" s="369"/>
      <c r="FN89" s="369"/>
      <c r="FO89" s="369"/>
      <c r="FP89" s="369"/>
      <c r="FQ89" s="369"/>
      <c r="FR89" s="369"/>
      <c r="FS89" s="369"/>
      <c r="FT89" s="369"/>
      <c r="FU89" s="369"/>
      <c r="FV89" s="369"/>
      <c r="FW89" s="369"/>
      <c r="FX89" s="369"/>
      <c r="FY89" s="369"/>
      <c r="FZ89" s="369"/>
      <c r="GA89" s="369"/>
      <c r="GB89" s="369"/>
      <c r="GC89" s="369"/>
      <c r="GD89" s="369"/>
      <c r="GE89" s="369"/>
      <c r="GF89" s="369"/>
      <c r="GG89" s="369"/>
      <c r="GH89" s="369"/>
      <c r="GI89" s="369"/>
      <c r="GJ89" s="369"/>
      <c r="GK89" s="369"/>
      <c r="GL89" s="369"/>
      <c r="GM89" s="369"/>
      <c r="GN89" s="369"/>
      <c r="GO89" s="369"/>
      <c r="GP89" s="369"/>
      <c r="GQ89" s="369"/>
      <c r="GR89" s="369"/>
      <c r="GS89" s="369"/>
      <c r="GT89" s="369"/>
      <c r="GU89" s="369"/>
      <c r="GV89" s="369"/>
      <c r="GW89" s="369"/>
      <c r="GX89" s="369"/>
      <c r="GY89" s="369"/>
      <c r="GZ89" s="369"/>
      <c r="HA89" s="369"/>
      <c r="HB89" s="369"/>
      <c r="HC89" s="369"/>
      <c r="HD89" s="369"/>
      <c r="HE89" s="369"/>
      <c r="HF89" s="369"/>
      <c r="HG89" s="369"/>
      <c r="HH89" s="369"/>
      <c r="HI89" s="369"/>
      <c r="HJ89" s="369"/>
      <c r="HK89" s="369"/>
      <c r="HL89" s="369"/>
      <c r="HM89" s="369"/>
      <c r="HN89" s="369"/>
      <c r="HO89" s="369"/>
      <c r="HP89" s="369"/>
      <c r="HQ89" s="369"/>
      <c r="HR89" s="369"/>
      <c r="HS89" s="369"/>
      <c r="HT89" s="369"/>
      <c r="HU89" s="369"/>
      <c r="HV89" s="369"/>
      <c r="HW89" s="369"/>
      <c r="HX89" s="369"/>
      <c r="HY89" s="369"/>
      <c r="HZ89" s="369"/>
      <c r="IA89" s="369"/>
      <c r="IB89" s="369"/>
      <c r="IC89" s="369"/>
      <c r="ID89" s="369"/>
      <c r="IE89" s="369"/>
      <c r="IF89" s="369"/>
      <c r="IG89" s="369"/>
      <c r="IH89" s="369"/>
      <c r="II89" s="369"/>
      <c r="IJ89" s="369"/>
      <c r="IK89" s="369"/>
      <c r="IL89" s="369"/>
      <c r="IM89" s="369"/>
      <c r="IN89" s="369"/>
      <c r="IO89" s="369"/>
      <c r="IP89" s="369"/>
      <c r="IQ89" s="369"/>
      <c r="IR89" s="369"/>
      <c r="IS89" s="369"/>
      <c r="IT89" s="369"/>
      <c r="IU89" s="369"/>
      <c r="IV89" s="369"/>
      <c r="IW89" s="369"/>
    </row>
    <row r="90" customFormat="false" ht="12.75" hidden="false" customHeight="false" outlineLevel="0" collapsed="false">
      <c r="A90" s="138"/>
      <c r="B90" s="39" t="s">
        <v>387</v>
      </c>
      <c r="C90" s="39"/>
      <c r="D90" s="459"/>
      <c r="E90" s="61" t="n">
        <f aca="false">E$12*$A85</f>
        <v>0</v>
      </c>
      <c r="F90" s="61" t="n">
        <f aca="false">F$12*$A85</f>
        <v>0</v>
      </c>
      <c r="G90" s="61" t="n">
        <f aca="false">G$12*$A85</f>
        <v>0</v>
      </c>
      <c r="H90" s="61" t="n">
        <f aca="false">H$12*$A85</f>
        <v>0</v>
      </c>
      <c r="I90" s="61" t="n">
        <f aca="false">I$12*$A85</f>
        <v>0</v>
      </c>
      <c r="J90" s="61" t="n">
        <f aca="false">J$12*$A85</f>
        <v>0</v>
      </c>
      <c r="K90" s="61" t="n">
        <f aca="false">K$12*$A85</f>
        <v>0</v>
      </c>
      <c r="L90" s="61" t="n">
        <f aca="false">L$12*$A85</f>
        <v>0</v>
      </c>
      <c r="M90" s="61" t="n">
        <f aca="false">M$12*$A85</f>
        <v>0</v>
      </c>
      <c r="N90" s="61" t="n">
        <f aca="false">N$12*$A85</f>
        <v>0</v>
      </c>
      <c r="O90" s="61" t="n">
        <f aca="false">O$12*$A85</f>
        <v>-225.834370538541</v>
      </c>
      <c r="P90" s="61" t="n">
        <f aca="false">P$12*$A85</f>
        <v>-216.922802914051</v>
      </c>
      <c r="Q90" s="61" t="n">
        <f aca="false">Q$12*$A85</f>
        <v>-174.035464650089</v>
      </c>
      <c r="R90" s="61" t="n">
        <f aca="false">R$12*$A85</f>
        <v>-97.5734122364439</v>
      </c>
      <c r="S90" s="61" t="n">
        <f aca="false">S$12*$A85</f>
        <v>12.5523639758556</v>
      </c>
      <c r="T90" s="61" t="n">
        <f aca="false">T$12*$A85</f>
        <v>165.992505969879</v>
      </c>
      <c r="U90" s="61" t="n">
        <f aca="false">U$12*$A85</f>
        <v>310.56351335321</v>
      </c>
      <c r="V90" s="61" t="n">
        <f aca="false">V$12*$A85</f>
        <v>513.990045062672</v>
      </c>
      <c r="W90" s="61" t="n">
        <f aca="false">W$12*$A85</f>
        <v>748.4338930213</v>
      </c>
      <c r="X90" s="61" t="n">
        <f aca="false">X$12*$A85</f>
        <v>999.919291090604</v>
      </c>
      <c r="Y90" s="61" t="n">
        <f aca="false">Y$12*$A85</f>
        <v>1092.39423102119</v>
      </c>
      <c r="Z90" s="61" t="n">
        <f aca="false">Z$12*$A85</f>
        <v>364.131410340397</v>
      </c>
      <c r="AA90" s="304" t="n">
        <f aca="false">SUM(D90:Z90)</f>
        <v>3493.61120349598</v>
      </c>
      <c r="AB90" s="304" t="n">
        <f aca="false">$E90+NPV(Disc,$F90:Z90)</f>
        <v>68.3061058930608</v>
      </c>
      <c r="AD90" s="369"/>
      <c r="AE90" s="369"/>
      <c r="AF90" s="369"/>
      <c r="AG90" s="369"/>
      <c r="AH90" s="369"/>
      <c r="AI90" s="369"/>
      <c r="AJ90" s="369"/>
      <c r="AK90" s="369"/>
      <c r="AL90" s="369"/>
      <c r="AM90" s="369"/>
      <c r="AN90" s="369"/>
      <c r="AO90" s="369"/>
      <c r="AP90" s="369"/>
      <c r="AQ90" s="369"/>
      <c r="AR90" s="369"/>
      <c r="AS90" s="369"/>
      <c r="AT90" s="369"/>
      <c r="AU90" s="369"/>
      <c r="AV90" s="369"/>
      <c r="AW90" s="369"/>
      <c r="AX90" s="369"/>
      <c r="AY90" s="369"/>
      <c r="AZ90" s="369"/>
      <c r="BA90" s="369"/>
      <c r="BB90" s="369"/>
      <c r="BC90" s="369"/>
      <c r="BD90" s="369"/>
      <c r="BE90" s="369"/>
      <c r="BF90" s="369"/>
      <c r="BG90" s="369"/>
      <c r="BH90" s="369"/>
      <c r="BI90" s="369"/>
      <c r="BJ90" s="369"/>
      <c r="BK90" s="369"/>
      <c r="BL90" s="369"/>
      <c r="BM90" s="369"/>
      <c r="BN90" s="369"/>
      <c r="BO90" s="369"/>
      <c r="BP90" s="369"/>
      <c r="BQ90" s="369"/>
      <c r="BR90" s="369"/>
      <c r="BS90" s="369"/>
      <c r="BT90" s="369"/>
      <c r="BU90" s="369"/>
      <c r="BV90" s="369"/>
      <c r="BW90" s="369"/>
      <c r="BX90" s="369"/>
      <c r="BY90" s="369"/>
      <c r="BZ90" s="369"/>
      <c r="CA90" s="369"/>
      <c r="CB90" s="369"/>
      <c r="CC90" s="369"/>
      <c r="CD90" s="369"/>
      <c r="CE90" s="369"/>
      <c r="CF90" s="369"/>
      <c r="CG90" s="369"/>
      <c r="CH90" s="369"/>
      <c r="CI90" s="369"/>
      <c r="CJ90" s="369"/>
      <c r="CK90" s="369"/>
      <c r="CL90" s="369"/>
      <c r="CM90" s="369"/>
      <c r="CN90" s="369"/>
      <c r="CO90" s="369"/>
      <c r="CP90" s="369"/>
      <c r="CQ90" s="369"/>
      <c r="CR90" s="369"/>
      <c r="CS90" s="369"/>
      <c r="CT90" s="369"/>
      <c r="CU90" s="369"/>
      <c r="CV90" s="369"/>
      <c r="CW90" s="369"/>
      <c r="CX90" s="369"/>
      <c r="CY90" s="369"/>
      <c r="CZ90" s="369"/>
      <c r="DA90" s="369"/>
      <c r="DB90" s="369"/>
      <c r="DC90" s="369"/>
      <c r="DD90" s="369"/>
      <c r="DE90" s="369"/>
      <c r="DF90" s="369"/>
      <c r="DG90" s="369"/>
      <c r="DH90" s="369"/>
      <c r="DI90" s="369"/>
      <c r="DJ90" s="369"/>
      <c r="DK90" s="369"/>
      <c r="DL90" s="369"/>
      <c r="DM90" s="369"/>
      <c r="DN90" s="369"/>
      <c r="DO90" s="369"/>
      <c r="DP90" s="369"/>
      <c r="DQ90" s="369"/>
      <c r="DR90" s="369"/>
      <c r="DS90" s="369"/>
      <c r="DT90" s="369"/>
      <c r="DU90" s="369"/>
      <c r="DV90" s="369"/>
      <c r="DW90" s="369"/>
      <c r="DX90" s="369"/>
      <c r="DY90" s="369"/>
      <c r="DZ90" s="369"/>
      <c r="EA90" s="369"/>
      <c r="EB90" s="369"/>
      <c r="EC90" s="369"/>
      <c r="ED90" s="369"/>
      <c r="EE90" s="369"/>
      <c r="EF90" s="369"/>
      <c r="EG90" s="369"/>
      <c r="EH90" s="369"/>
      <c r="EI90" s="369"/>
      <c r="EJ90" s="369"/>
      <c r="EK90" s="369"/>
      <c r="EL90" s="369"/>
      <c r="EM90" s="369"/>
      <c r="EN90" s="369"/>
      <c r="EO90" s="369"/>
      <c r="EP90" s="369"/>
      <c r="EQ90" s="369"/>
      <c r="ER90" s="369"/>
      <c r="ES90" s="369"/>
      <c r="ET90" s="369"/>
      <c r="EU90" s="369"/>
      <c r="EV90" s="369"/>
      <c r="EW90" s="369"/>
      <c r="EX90" s="369"/>
      <c r="EY90" s="369"/>
      <c r="EZ90" s="369"/>
      <c r="FA90" s="369"/>
      <c r="FB90" s="369"/>
      <c r="FC90" s="369"/>
      <c r="FD90" s="369"/>
      <c r="FE90" s="369"/>
      <c r="FF90" s="369"/>
      <c r="FG90" s="369"/>
      <c r="FH90" s="369"/>
      <c r="FI90" s="369"/>
      <c r="FJ90" s="369"/>
      <c r="FK90" s="369"/>
      <c r="FL90" s="369"/>
      <c r="FM90" s="369"/>
      <c r="FN90" s="369"/>
      <c r="FO90" s="369"/>
      <c r="FP90" s="369"/>
      <c r="FQ90" s="369"/>
      <c r="FR90" s="369"/>
      <c r="FS90" s="369"/>
      <c r="FT90" s="369"/>
      <c r="FU90" s="369"/>
      <c r="FV90" s="369"/>
      <c r="FW90" s="369"/>
      <c r="FX90" s="369"/>
      <c r="FY90" s="369"/>
      <c r="FZ90" s="369"/>
      <c r="GA90" s="369"/>
      <c r="GB90" s="369"/>
      <c r="GC90" s="369"/>
      <c r="GD90" s="369"/>
      <c r="GE90" s="369"/>
      <c r="GF90" s="369"/>
      <c r="GG90" s="369"/>
      <c r="GH90" s="369"/>
      <c r="GI90" s="369"/>
      <c r="GJ90" s="369"/>
      <c r="GK90" s="369"/>
      <c r="GL90" s="369"/>
      <c r="GM90" s="369"/>
      <c r="GN90" s="369"/>
      <c r="GO90" s="369"/>
      <c r="GP90" s="369"/>
      <c r="GQ90" s="369"/>
      <c r="GR90" s="369"/>
      <c r="GS90" s="369"/>
      <c r="GT90" s="369"/>
      <c r="GU90" s="369"/>
      <c r="GV90" s="369"/>
      <c r="GW90" s="369"/>
      <c r="GX90" s="369"/>
      <c r="GY90" s="369"/>
      <c r="GZ90" s="369"/>
      <c r="HA90" s="369"/>
      <c r="HB90" s="369"/>
      <c r="HC90" s="369"/>
      <c r="HD90" s="369"/>
      <c r="HE90" s="369"/>
      <c r="HF90" s="369"/>
      <c r="HG90" s="369"/>
      <c r="HH90" s="369"/>
      <c r="HI90" s="369"/>
      <c r="HJ90" s="369"/>
      <c r="HK90" s="369"/>
      <c r="HL90" s="369"/>
      <c r="HM90" s="369"/>
      <c r="HN90" s="369"/>
      <c r="HO90" s="369"/>
      <c r="HP90" s="369"/>
      <c r="HQ90" s="369"/>
      <c r="HR90" s="369"/>
      <c r="HS90" s="369"/>
      <c r="HT90" s="369"/>
      <c r="HU90" s="369"/>
      <c r="HV90" s="369"/>
      <c r="HW90" s="369"/>
      <c r="HX90" s="369"/>
      <c r="HY90" s="369"/>
      <c r="HZ90" s="369"/>
      <c r="IA90" s="369"/>
      <c r="IB90" s="369"/>
      <c r="IC90" s="369"/>
      <c r="ID90" s="369"/>
      <c r="IE90" s="369"/>
      <c r="IF90" s="369"/>
      <c r="IG90" s="369"/>
      <c r="IH90" s="369"/>
      <c r="II90" s="369"/>
      <c r="IJ90" s="369"/>
      <c r="IK90" s="369"/>
      <c r="IL90" s="369"/>
      <c r="IM90" s="369"/>
      <c r="IN90" s="369"/>
      <c r="IO90" s="369"/>
      <c r="IP90" s="369"/>
      <c r="IQ90" s="369"/>
      <c r="IR90" s="369"/>
      <c r="IS90" s="369"/>
      <c r="IT90" s="369"/>
      <c r="IU90" s="369"/>
      <c r="IV90" s="369"/>
      <c r="IW90" s="369"/>
    </row>
    <row r="91" customFormat="false" ht="12.75" hidden="false" customHeight="false" outlineLevel="0" collapsed="false">
      <c r="A91" s="138"/>
      <c r="B91" s="39" t="s">
        <v>375</v>
      </c>
      <c r="C91" s="366" t="n">
        <f aca="false">Wh_Int</f>
        <v>0.15</v>
      </c>
      <c r="D91" s="459"/>
      <c r="E91" s="61" t="n">
        <f aca="false">E13*$A$85</f>
        <v>-0</v>
      </c>
      <c r="F91" s="61" t="n">
        <f aca="false">F13*$A$85</f>
        <v>-0</v>
      </c>
      <c r="G91" s="61" t="n">
        <f aca="false">G13*$A$85</f>
        <v>-0</v>
      </c>
      <c r="H91" s="61" t="n">
        <f aca="false">H13*$A$85</f>
        <v>-0</v>
      </c>
      <c r="I91" s="61" t="n">
        <f aca="false">I13*$A$85</f>
        <v>-0</v>
      </c>
      <c r="J91" s="61" t="n">
        <f aca="false">J13*$A$85</f>
        <v>-0</v>
      </c>
      <c r="K91" s="61" t="n">
        <f aca="false">K13*$A$85</f>
        <v>-0</v>
      </c>
      <c r="L91" s="61" t="n">
        <f aca="false">L13*$A$85</f>
        <v>-0</v>
      </c>
      <c r="M91" s="61" t="n">
        <f aca="false">M13*$A$85</f>
        <v>-0</v>
      </c>
      <c r="N91" s="61" t="n">
        <f aca="false">N13*$A$85</f>
        <v>-0</v>
      </c>
      <c r="O91" s="61" t="n">
        <f aca="false">O13*$A$85</f>
        <v>33.8751555807812</v>
      </c>
      <c r="P91" s="61" t="n">
        <f aca="false">P13*$A$85</f>
        <v>32.5384204371077</v>
      </c>
      <c r="Q91" s="61" t="n">
        <f aca="false">Q13*$A$85</f>
        <v>26.1053196975133</v>
      </c>
      <c r="R91" s="61" t="n">
        <f aca="false">R13*$A$85</f>
        <v>14.6360118354666</v>
      </c>
      <c r="S91" s="61" t="n">
        <f aca="false">S13*$A$85</f>
        <v>-1.88285459637834</v>
      </c>
      <c r="T91" s="61" t="n">
        <f aca="false">T13*$A$85</f>
        <v>-24.8988758954819</v>
      </c>
      <c r="U91" s="61" t="n">
        <f aca="false">U13*$A$85</f>
        <v>-46.5845270029815</v>
      </c>
      <c r="V91" s="61" t="n">
        <f aca="false">V13*$A$85</f>
        <v>-77.0985067594008</v>
      </c>
      <c r="W91" s="61" t="n">
        <f aca="false">W13*$A$85</f>
        <v>-112.265083953195</v>
      </c>
      <c r="X91" s="61" t="n">
        <f aca="false">X13*$A$85</f>
        <v>-149.987893663591</v>
      </c>
      <c r="Y91" s="61" t="n">
        <f aca="false">Y13*$A$85</f>
        <v>-163.859134653178</v>
      </c>
      <c r="Z91" s="61" t="n">
        <f aca="false">Z13*$A$85</f>
        <v>-54.6197115510595</v>
      </c>
      <c r="AA91" s="304" t="n">
        <f aca="false">SUM(D91:Z91)</f>
        <v>-524.041680524397</v>
      </c>
      <c r="AB91" s="304" t="n">
        <f aca="false">$E91+NPV(Disc,$F91:Z91)</f>
        <v>-10.2459158839591</v>
      </c>
      <c r="AD91" s="369"/>
      <c r="AE91" s="369"/>
      <c r="AF91" s="369"/>
      <c r="AG91" s="369"/>
      <c r="AH91" s="369"/>
      <c r="AI91" s="369"/>
      <c r="AJ91" s="369"/>
      <c r="AK91" s="369"/>
      <c r="AL91" s="369"/>
      <c r="AM91" s="369"/>
      <c r="AN91" s="369"/>
      <c r="AO91" s="369"/>
      <c r="AP91" s="369"/>
      <c r="AQ91" s="369"/>
      <c r="AR91" s="369"/>
      <c r="AS91" s="369"/>
      <c r="AT91" s="369"/>
      <c r="AU91" s="369"/>
      <c r="AV91" s="369"/>
      <c r="AW91" s="369"/>
      <c r="AX91" s="369"/>
      <c r="AY91" s="369"/>
      <c r="AZ91" s="369"/>
      <c r="BA91" s="369"/>
      <c r="BB91" s="369"/>
      <c r="BC91" s="369"/>
      <c r="BD91" s="369"/>
      <c r="BE91" s="369"/>
      <c r="BF91" s="369"/>
      <c r="BG91" s="369"/>
      <c r="BH91" s="369"/>
      <c r="BI91" s="369"/>
      <c r="BJ91" s="369"/>
      <c r="BK91" s="369"/>
      <c r="BL91" s="369"/>
      <c r="BM91" s="369"/>
      <c r="BN91" s="369"/>
      <c r="BO91" s="369"/>
      <c r="BP91" s="369"/>
      <c r="BQ91" s="369"/>
      <c r="BR91" s="369"/>
      <c r="BS91" s="369"/>
      <c r="BT91" s="369"/>
      <c r="BU91" s="369"/>
      <c r="BV91" s="369"/>
      <c r="BW91" s="369"/>
      <c r="BX91" s="369"/>
      <c r="BY91" s="369"/>
      <c r="BZ91" s="369"/>
      <c r="CA91" s="369"/>
      <c r="CB91" s="369"/>
      <c r="CC91" s="369"/>
      <c r="CD91" s="369"/>
      <c r="CE91" s="369"/>
      <c r="CF91" s="369"/>
      <c r="CG91" s="369"/>
      <c r="CH91" s="369"/>
      <c r="CI91" s="369"/>
      <c r="CJ91" s="369"/>
      <c r="CK91" s="369"/>
      <c r="CL91" s="369"/>
      <c r="CM91" s="369"/>
      <c r="CN91" s="369"/>
      <c r="CO91" s="369"/>
      <c r="CP91" s="369"/>
      <c r="CQ91" s="369"/>
      <c r="CR91" s="369"/>
      <c r="CS91" s="369"/>
      <c r="CT91" s="369"/>
      <c r="CU91" s="369"/>
      <c r="CV91" s="369"/>
      <c r="CW91" s="369"/>
      <c r="CX91" s="369"/>
      <c r="CY91" s="369"/>
      <c r="CZ91" s="369"/>
      <c r="DA91" s="369"/>
      <c r="DB91" s="369"/>
      <c r="DC91" s="369"/>
      <c r="DD91" s="369"/>
      <c r="DE91" s="369"/>
      <c r="DF91" s="369"/>
      <c r="DG91" s="369"/>
      <c r="DH91" s="369"/>
      <c r="DI91" s="369"/>
      <c r="DJ91" s="369"/>
      <c r="DK91" s="369"/>
      <c r="DL91" s="369"/>
      <c r="DM91" s="369"/>
      <c r="DN91" s="369"/>
      <c r="DO91" s="369"/>
      <c r="DP91" s="369"/>
      <c r="DQ91" s="369"/>
      <c r="DR91" s="369"/>
      <c r="DS91" s="369"/>
      <c r="DT91" s="369"/>
      <c r="DU91" s="369"/>
      <c r="DV91" s="369"/>
      <c r="DW91" s="369"/>
      <c r="DX91" s="369"/>
      <c r="DY91" s="369"/>
      <c r="DZ91" s="369"/>
      <c r="EA91" s="369"/>
      <c r="EB91" s="369"/>
      <c r="EC91" s="369"/>
      <c r="ED91" s="369"/>
      <c r="EE91" s="369"/>
      <c r="EF91" s="369"/>
      <c r="EG91" s="369"/>
      <c r="EH91" s="369"/>
      <c r="EI91" s="369"/>
      <c r="EJ91" s="369"/>
      <c r="EK91" s="369"/>
      <c r="EL91" s="369"/>
      <c r="EM91" s="369"/>
      <c r="EN91" s="369"/>
      <c r="EO91" s="369"/>
      <c r="EP91" s="369"/>
      <c r="EQ91" s="369"/>
      <c r="ER91" s="369"/>
      <c r="ES91" s="369"/>
      <c r="ET91" s="369"/>
      <c r="EU91" s="369"/>
      <c r="EV91" s="369"/>
      <c r="EW91" s="369"/>
      <c r="EX91" s="369"/>
      <c r="EY91" s="369"/>
      <c r="EZ91" s="369"/>
      <c r="FA91" s="369"/>
      <c r="FB91" s="369"/>
      <c r="FC91" s="369"/>
      <c r="FD91" s="369"/>
      <c r="FE91" s="369"/>
      <c r="FF91" s="369"/>
      <c r="FG91" s="369"/>
      <c r="FH91" s="369"/>
      <c r="FI91" s="369"/>
      <c r="FJ91" s="369"/>
      <c r="FK91" s="369"/>
      <c r="FL91" s="369"/>
      <c r="FM91" s="369"/>
      <c r="FN91" s="369"/>
      <c r="FO91" s="369"/>
      <c r="FP91" s="369"/>
      <c r="FQ91" s="369"/>
      <c r="FR91" s="369"/>
      <c r="FS91" s="369"/>
      <c r="FT91" s="369"/>
      <c r="FU91" s="369"/>
      <c r="FV91" s="369"/>
      <c r="FW91" s="369"/>
      <c r="FX91" s="369"/>
      <c r="FY91" s="369"/>
      <c r="FZ91" s="369"/>
      <c r="GA91" s="369"/>
      <c r="GB91" s="369"/>
      <c r="GC91" s="369"/>
      <c r="GD91" s="369"/>
      <c r="GE91" s="369"/>
      <c r="GF91" s="369"/>
      <c r="GG91" s="369"/>
      <c r="GH91" s="369"/>
      <c r="GI91" s="369"/>
      <c r="GJ91" s="369"/>
      <c r="GK91" s="369"/>
      <c r="GL91" s="369"/>
      <c r="GM91" s="369"/>
      <c r="GN91" s="369"/>
      <c r="GO91" s="369"/>
      <c r="GP91" s="369"/>
      <c r="GQ91" s="369"/>
      <c r="GR91" s="369"/>
      <c r="GS91" s="369"/>
      <c r="GT91" s="369"/>
      <c r="GU91" s="369"/>
      <c r="GV91" s="369"/>
      <c r="GW91" s="369"/>
      <c r="GX91" s="369"/>
      <c r="GY91" s="369"/>
      <c r="GZ91" s="369"/>
      <c r="HA91" s="369"/>
      <c r="HB91" s="369"/>
      <c r="HC91" s="369"/>
      <c r="HD91" s="369"/>
      <c r="HE91" s="369"/>
      <c r="HF91" s="369"/>
      <c r="HG91" s="369"/>
      <c r="HH91" s="369"/>
      <c r="HI91" s="369"/>
      <c r="HJ91" s="369"/>
      <c r="HK91" s="369"/>
      <c r="HL91" s="369"/>
      <c r="HM91" s="369"/>
      <c r="HN91" s="369"/>
      <c r="HO91" s="369"/>
      <c r="HP91" s="369"/>
      <c r="HQ91" s="369"/>
      <c r="HR91" s="369"/>
      <c r="HS91" s="369"/>
      <c r="HT91" s="369"/>
      <c r="HU91" s="369"/>
      <c r="HV91" s="369"/>
      <c r="HW91" s="369"/>
      <c r="HX91" s="369"/>
      <c r="HY91" s="369"/>
      <c r="HZ91" s="369"/>
      <c r="IA91" s="369"/>
      <c r="IB91" s="369"/>
      <c r="IC91" s="369"/>
      <c r="ID91" s="369"/>
      <c r="IE91" s="369"/>
      <c r="IF91" s="369"/>
      <c r="IG91" s="369"/>
      <c r="IH91" s="369"/>
      <c r="II91" s="369"/>
      <c r="IJ91" s="369"/>
      <c r="IK91" s="369"/>
      <c r="IL91" s="369"/>
      <c r="IM91" s="369"/>
      <c r="IN91" s="369"/>
      <c r="IO91" s="369"/>
      <c r="IP91" s="369"/>
      <c r="IQ91" s="369"/>
      <c r="IR91" s="369"/>
      <c r="IS91" s="369"/>
      <c r="IT91" s="369"/>
      <c r="IU91" s="369"/>
      <c r="IV91" s="369"/>
      <c r="IW91" s="369"/>
    </row>
    <row r="92" customFormat="false" ht="12.75" hidden="false" customHeight="false" outlineLevel="0" collapsed="false">
      <c r="A92" s="460" t="n">
        <f aca="false">Assm!$J$74</f>
        <v>0.2</v>
      </c>
      <c r="B92" s="39" t="s">
        <v>388</v>
      </c>
      <c r="C92" s="311" t="s">
        <v>235</v>
      </c>
      <c r="D92" s="459"/>
      <c r="E92" s="229" t="n">
        <f aca="false">IF(E$7=YEAR(Startops1),Assm!$O$35*$A92,0)</f>
        <v>0</v>
      </c>
      <c r="F92" s="229" t="n">
        <f aca="false">IF(F$7=YEAR(Startops1),Assm!$O$35*$A92,0)</f>
        <v>0</v>
      </c>
      <c r="G92" s="229" t="n">
        <f aca="false">IF(G$7=YEAR(Startops1),Assm!$O$35*$A92,0)</f>
        <v>0</v>
      </c>
      <c r="H92" s="229" t="n">
        <f aca="false">IF(H$7=YEAR(Startops1),Assm!$O$35*$A92,0)</f>
        <v>0</v>
      </c>
      <c r="I92" s="229" t="n">
        <f aca="false">IF(I$7=YEAR(Startops1),Assm!$O$35*$A92,0)</f>
        <v>0</v>
      </c>
      <c r="J92" s="229" t="n">
        <f aca="false">IF(J$7=YEAR(Startops1),Assm!$O$35*$A92,0)</f>
        <v>0</v>
      </c>
      <c r="K92" s="229" t="n">
        <f aca="false">IF(K$7=YEAR(Startops1),Assm!$O$35*$A92,0)</f>
        <v>0</v>
      </c>
      <c r="L92" s="229" t="n">
        <f aca="false">IF(L$7=YEAR(Startops1),Assm!$O$35*$A92,0)</f>
        <v>0</v>
      </c>
      <c r="M92" s="229" t="n">
        <f aca="false">IF(M$7=YEAR(Startops1),Assm!$O$35*$A92,0)</f>
        <v>0</v>
      </c>
      <c r="N92" s="229" t="n">
        <f aca="false">IF(N$7=YEAR(Startops1),Assm!$O$35*$A92,0)</f>
        <v>0</v>
      </c>
      <c r="O92" s="229" t="n">
        <f aca="false">IF(O$7=YEAR(Startops1),Assm!$O$35*$A92,0)</f>
        <v>0</v>
      </c>
      <c r="P92" s="229" t="n">
        <f aca="false">IF(P$7=YEAR(Startops1),Assm!$O$35*$A92,0)</f>
        <v>0</v>
      </c>
      <c r="Q92" s="229" t="n">
        <f aca="false">IF(Q$7=YEAR(Startops1),Assm!$O$35*$A92,0)</f>
        <v>0</v>
      </c>
      <c r="R92" s="229" t="n">
        <f aca="false">IF(R$7=YEAR(Startops1),Assm!$O$35*$A92,0)</f>
        <v>0</v>
      </c>
      <c r="S92" s="229" t="n">
        <f aca="false">IF(S$7=YEAR(Startops1),Assm!$O$35*$A92,0)</f>
        <v>0</v>
      </c>
      <c r="T92" s="229" t="n">
        <f aca="false">IF(T$7=YEAR(Startops1),Assm!$O$35*$A92,0)</f>
        <v>0</v>
      </c>
      <c r="U92" s="229" t="n">
        <f aca="false">IF(U$7=YEAR(Startops1),Assm!$O$35*$A92,0)</f>
        <v>0</v>
      </c>
      <c r="V92" s="229" t="n">
        <f aca="false">IF(V$7=YEAR(Startops1),Assm!$O$35*$A92,0)</f>
        <v>0</v>
      </c>
      <c r="W92" s="229" t="n">
        <f aca="false">IF(W$7=YEAR(Startops1),Assm!$O$35*$A92,0)</f>
        <v>0</v>
      </c>
      <c r="X92" s="229" t="n">
        <f aca="false">IF(X$7=YEAR(Startops1),Assm!$O$35*$A92,0)</f>
        <v>0</v>
      </c>
      <c r="Y92" s="229" t="n">
        <f aca="false">IF(Y$7=YEAR(Startops1),Assm!$O$35*$A92,0)</f>
        <v>0</v>
      </c>
      <c r="Z92" s="229" t="n">
        <f aca="false">IF(Z$7=YEAR(Startops1),Assm!$O$35*$A92,0)</f>
        <v>0</v>
      </c>
      <c r="AA92" s="304" t="n">
        <f aca="false">SUM(D92:Z92)</f>
        <v>0</v>
      </c>
      <c r="AB92" s="304" t="n">
        <f aca="false">$E92+NPV(Disc,$F92:Z92)</f>
        <v>0</v>
      </c>
      <c r="AD92" s="369"/>
      <c r="AE92" s="369"/>
      <c r="AF92" s="369"/>
      <c r="AG92" s="369"/>
      <c r="AH92" s="369"/>
      <c r="AI92" s="369"/>
      <c r="AJ92" s="369"/>
      <c r="AK92" s="369"/>
      <c r="AL92" s="369"/>
      <c r="AM92" s="369"/>
      <c r="AN92" s="369"/>
      <c r="AO92" s="369"/>
      <c r="AP92" s="369"/>
      <c r="AQ92" s="369"/>
      <c r="AR92" s="369"/>
      <c r="AS92" s="369"/>
      <c r="AT92" s="369"/>
      <c r="AU92" s="369"/>
      <c r="AV92" s="369"/>
      <c r="AW92" s="369"/>
      <c r="AX92" s="369"/>
      <c r="AY92" s="369"/>
      <c r="AZ92" s="369"/>
      <c r="BA92" s="369"/>
      <c r="BB92" s="369"/>
      <c r="BC92" s="369"/>
      <c r="BD92" s="369"/>
      <c r="BE92" s="369"/>
      <c r="BF92" s="369"/>
      <c r="BG92" s="369"/>
      <c r="BH92" s="369"/>
      <c r="BI92" s="369"/>
      <c r="BJ92" s="369"/>
      <c r="BK92" s="369"/>
      <c r="BL92" s="369"/>
      <c r="BM92" s="369"/>
      <c r="BN92" s="369"/>
      <c r="BO92" s="369"/>
      <c r="BP92" s="369"/>
      <c r="BQ92" s="369"/>
      <c r="BR92" s="369"/>
      <c r="BS92" s="369"/>
      <c r="BT92" s="369"/>
      <c r="BU92" s="369"/>
      <c r="BV92" s="369"/>
      <c r="BW92" s="369"/>
      <c r="BX92" s="369"/>
      <c r="BY92" s="369"/>
      <c r="BZ92" s="369"/>
      <c r="CA92" s="369"/>
      <c r="CB92" s="369"/>
      <c r="CC92" s="369"/>
      <c r="CD92" s="369"/>
      <c r="CE92" s="369"/>
      <c r="CF92" s="369"/>
      <c r="CG92" s="369"/>
      <c r="CH92" s="369"/>
      <c r="CI92" s="369"/>
      <c r="CJ92" s="369"/>
      <c r="CK92" s="369"/>
      <c r="CL92" s="369"/>
      <c r="CM92" s="369"/>
      <c r="CN92" s="369"/>
      <c r="CO92" s="369"/>
      <c r="CP92" s="369"/>
      <c r="CQ92" s="369"/>
      <c r="CR92" s="369"/>
      <c r="CS92" s="369"/>
      <c r="CT92" s="369"/>
      <c r="CU92" s="369"/>
      <c r="CV92" s="369"/>
      <c r="CW92" s="369"/>
      <c r="CX92" s="369"/>
      <c r="CY92" s="369"/>
      <c r="CZ92" s="369"/>
      <c r="DA92" s="369"/>
      <c r="DB92" s="369"/>
      <c r="DC92" s="369"/>
      <c r="DD92" s="369"/>
      <c r="DE92" s="369"/>
      <c r="DF92" s="369"/>
      <c r="DG92" s="369"/>
      <c r="DH92" s="369"/>
      <c r="DI92" s="369"/>
      <c r="DJ92" s="369"/>
      <c r="DK92" s="369"/>
      <c r="DL92" s="369"/>
      <c r="DM92" s="369"/>
      <c r="DN92" s="369"/>
      <c r="DO92" s="369"/>
      <c r="DP92" s="369"/>
      <c r="DQ92" s="369"/>
      <c r="DR92" s="369"/>
      <c r="DS92" s="369"/>
      <c r="DT92" s="369"/>
      <c r="DU92" s="369"/>
      <c r="DV92" s="369"/>
      <c r="DW92" s="369"/>
      <c r="DX92" s="369"/>
      <c r="DY92" s="369"/>
      <c r="DZ92" s="369"/>
      <c r="EA92" s="369"/>
      <c r="EB92" s="369"/>
      <c r="EC92" s="369"/>
      <c r="ED92" s="369"/>
      <c r="EE92" s="369"/>
      <c r="EF92" s="369"/>
      <c r="EG92" s="369"/>
      <c r="EH92" s="369"/>
      <c r="EI92" s="369"/>
      <c r="EJ92" s="369"/>
      <c r="EK92" s="369"/>
      <c r="EL92" s="369"/>
      <c r="EM92" s="369"/>
      <c r="EN92" s="369"/>
      <c r="EO92" s="369"/>
      <c r="EP92" s="369"/>
      <c r="EQ92" s="369"/>
      <c r="ER92" s="369"/>
      <c r="ES92" s="369"/>
      <c r="ET92" s="369"/>
      <c r="EU92" s="369"/>
      <c r="EV92" s="369"/>
      <c r="EW92" s="369"/>
      <c r="EX92" s="369"/>
      <c r="EY92" s="369"/>
      <c r="EZ92" s="369"/>
      <c r="FA92" s="369"/>
      <c r="FB92" s="369"/>
      <c r="FC92" s="369"/>
      <c r="FD92" s="369"/>
      <c r="FE92" s="369"/>
      <c r="FF92" s="369"/>
      <c r="FG92" s="369"/>
      <c r="FH92" s="369"/>
      <c r="FI92" s="369"/>
      <c r="FJ92" s="369"/>
      <c r="FK92" s="369"/>
      <c r="FL92" s="369"/>
      <c r="FM92" s="369"/>
      <c r="FN92" s="369"/>
      <c r="FO92" s="369"/>
      <c r="FP92" s="369"/>
      <c r="FQ92" s="369"/>
      <c r="FR92" s="369"/>
      <c r="FS92" s="369"/>
      <c r="FT92" s="369"/>
      <c r="FU92" s="369"/>
      <c r="FV92" s="369"/>
      <c r="FW92" s="369"/>
      <c r="FX92" s="369"/>
      <c r="FY92" s="369"/>
      <c r="FZ92" s="369"/>
      <c r="GA92" s="369"/>
      <c r="GB92" s="369"/>
      <c r="GC92" s="369"/>
      <c r="GD92" s="369"/>
      <c r="GE92" s="369"/>
      <c r="GF92" s="369"/>
      <c r="GG92" s="369"/>
      <c r="GH92" s="369"/>
      <c r="GI92" s="369"/>
      <c r="GJ92" s="369"/>
      <c r="GK92" s="369"/>
      <c r="GL92" s="369"/>
      <c r="GM92" s="369"/>
      <c r="GN92" s="369"/>
      <c r="GO92" s="369"/>
      <c r="GP92" s="369"/>
      <c r="GQ92" s="369"/>
      <c r="GR92" s="369"/>
      <c r="GS92" s="369"/>
      <c r="GT92" s="369"/>
      <c r="GU92" s="369"/>
      <c r="GV92" s="369"/>
      <c r="GW92" s="369"/>
      <c r="GX92" s="369"/>
      <c r="GY92" s="369"/>
      <c r="GZ92" s="369"/>
      <c r="HA92" s="369"/>
      <c r="HB92" s="369"/>
      <c r="HC92" s="369"/>
      <c r="HD92" s="369"/>
      <c r="HE92" s="369"/>
      <c r="HF92" s="369"/>
      <c r="HG92" s="369"/>
      <c r="HH92" s="369"/>
      <c r="HI92" s="369"/>
      <c r="HJ92" s="369"/>
      <c r="HK92" s="369"/>
      <c r="HL92" s="369"/>
      <c r="HM92" s="369"/>
      <c r="HN92" s="369"/>
      <c r="HO92" s="369"/>
      <c r="HP92" s="369"/>
      <c r="HQ92" s="369"/>
      <c r="HR92" s="369"/>
      <c r="HS92" s="369"/>
      <c r="HT92" s="369"/>
      <c r="HU92" s="369"/>
      <c r="HV92" s="369"/>
      <c r="HW92" s="369"/>
      <c r="HX92" s="369"/>
      <c r="HY92" s="369"/>
      <c r="HZ92" s="369"/>
      <c r="IA92" s="369"/>
      <c r="IB92" s="369"/>
      <c r="IC92" s="369"/>
      <c r="ID92" s="369"/>
      <c r="IE92" s="369"/>
      <c r="IF92" s="369"/>
      <c r="IG92" s="369"/>
      <c r="IH92" s="369"/>
      <c r="II92" s="369"/>
      <c r="IJ92" s="369"/>
      <c r="IK92" s="369"/>
      <c r="IL92" s="369"/>
      <c r="IM92" s="369"/>
      <c r="IN92" s="369"/>
      <c r="IO92" s="369"/>
      <c r="IP92" s="369"/>
      <c r="IQ92" s="369"/>
      <c r="IR92" s="369"/>
      <c r="IS92" s="369"/>
      <c r="IT92" s="369"/>
      <c r="IU92" s="369"/>
      <c r="IV92" s="369"/>
      <c r="IW92" s="369"/>
    </row>
    <row r="93" customFormat="false" ht="12.75" hidden="false" customHeight="false" outlineLevel="0" collapsed="false">
      <c r="A93" s="460" t="n">
        <f aca="false">Assm!$J$75</f>
        <v>0</v>
      </c>
      <c r="B93" s="39" t="s">
        <v>389</v>
      </c>
      <c r="C93" s="311" t="s">
        <v>235</v>
      </c>
      <c r="D93" s="39"/>
      <c r="E93" s="229" t="n">
        <f aca="false">IF(E$7&lt;YEAR(Startops1),0,HLOOKUP(E$7,CF_Table,CF!$AB$28)*$A93)</f>
        <v>0</v>
      </c>
      <c r="F93" s="229" t="n">
        <f aca="false">IF(F$7&lt;YEAR(Startops1),0,HLOOKUP(F$7,CF_Table,CF!$AB$28)*$A93)</f>
        <v>0</v>
      </c>
      <c r="G93" s="229" t="n">
        <f aca="false">IF(G$7&lt;YEAR(Startops1),0,HLOOKUP(G$7,CF_Table,CF!$AB$28)*$A93)</f>
        <v>0</v>
      </c>
      <c r="H93" s="229" t="n">
        <f aca="false">IF(H$7&lt;YEAR(Startops1),0,HLOOKUP(H$7,CF_Table,CF!$AB$28)*$A93)</f>
        <v>0</v>
      </c>
      <c r="I93" s="229" t="n">
        <f aca="false">IF(I$7&lt;YEAR(Startops1),0,HLOOKUP(I$7,CF_Table,CF!$AB$28)*$A93)</f>
        <v>0</v>
      </c>
      <c r="J93" s="229" t="n">
        <f aca="false">IF(J$7&lt;YEAR(Startops1),0,HLOOKUP(J$7,CF_Table,CF!$AB$28)*$A93)</f>
        <v>0</v>
      </c>
      <c r="K93" s="229" t="n">
        <f aca="false">IF(K$7&lt;YEAR(Startops1),0,HLOOKUP(K$7,CF_Table,CF!$AB$28)*$A93)</f>
        <v>0</v>
      </c>
      <c r="L93" s="229" t="n">
        <f aca="false">IF(L$7&lt;YEAR(Startops1),0,HLOOKUP(L$7,CF_Table,CF!$AB$28)*$A93)</f>
        <v>0</v>
      </c>
      <c r="M93" s="229" t="n">
        <f aca="false">IF(M$7&lt;YEAR(Startops1),0,HLOOKUP(M$7,CF_Table,CF!$AB$28)*$A93)</f>
        <v>0</v>
      </c>
      <c r="N93" s="229" t="n">
        <f aca="false">IF(N$7&lt;YEAR(Startops1),0,HLOOKUP(N$7,CF_Table,CF!$AB$28)*$A93)</f>
        <v>0</v>
      </c>
      <c r="O93" s="229" t="n">
        <f aca="false">IF(O$7&lt;YEAR(Startops1),0,HLOOKUP(O$7,CF_Table,CF!$AB$28)*$A93)</f>
        <v>0</v>
      </c>
      <c r="P93" s="229" t="n">
        <f aca="false">IF(P$7&lt;YEAR(Startops1),0,HLOOKUP(P$7,CF_Table,CF!$AB$28)*$A93)</f>
        <v>0</v>
      </c>
      <c r="Q93" s="229" t="n">
        <f aca="false">IF(Q$7&lt;YEAR(Startops1),0,HLOOKUP(Q$7,CF_Table,CF!$AB$28)*$A93)</f>
        <v>0</v>
      </c>
      <c r="R93" s="229" t="n">
        <f aca="false">IF(R$7&lt;YEAR(Startops1),0,HLOOKUP(R$7,CF_Table,CF!$AB$28)*$A93)</f>
        <v>0</v>
      </c>
      <c r="S93" s="229" t="n">
        <f aca="false">IF(S$7&lt;YEAR(Startops1),0,HLOOKUP(S$7,CF_Table,CF!$AB$28)*$A93)</f>
        <v>0</v>
      </c>
      <c r="T93" s="229" t="n">
        <f aca="false">IF(T$7&lt;YEAR(Startops1),0,HLOOKUP(T$7,CF_Table,CF!$AB$28)*$A93)</f>
        <v>0</v>
      </c>
      <c r="U93" s="229" t="n">
        <f aca="false">IF(U$7&lt;YEAR(Startops1),0,HLOOKUP(U$7,CF_Table,CF!$AB$28)*$A93)</f>
        <v>0</v>
      </c>
      <c r="V93" s="229" t="n">
        <f aca="false">IF(V$7&lt;YEAR(Startops1),0,HLOOKUP(V$7,CF_Table,CF!$AB$28)*$A93)</f>
        <v>0</v>
      </c>
      <c r="W93" s="229" t="n">
        <f aca="false">IF(W$7&lt;YEAR(Startops1),0,HLOOKUP(W$7,CF_Table,CF!$AB$28)*$A93)</f>
        <v>0</v>
      </c>
      <c r="X93" s="229" t="n">
        <f aca="false">IF(X$7&lt;YEAR(Startops1),0,HLOOKUP(X$7,CF_Table,CF!$AB$28)*$A93)</f>
        <v>0</v>
      </c>
      <c r="Y93" s="229" t="n">
        <f aca="false">IF(Y$7&lt;YEAR(Startops1),0,HLOOKUP(Y$7,CF_Table,CF!$AB$28)*$A93)</f>
        <v>0</v>
      </c>
      <c r="Z93" s="229" t="n">
        <f aca="false">IF(Z$7&lt;YEAR(Startops1),0,HLOOKUP(Z$7,CF_Table,CF!$AB$28)*$A93)</f>
        <v>0</v>
      </c>
      <c r="AA93" s="304" t="n">
        <f aca="false">SUM(D93:Z93)</f>
        <v>0</v>
      </c>
      <c r="AB93" s="304" t="n">
        <f aca="false">$E93+NPV(Disc,$F93:Z93)</f>
        <v>0</v>
      </c>
    </row>
    <row r="94" customFormat="false" ht="12.75" hidden="false" customHeight="false" outlineLevel="0" collapsed="false">
      <c r="A94" s="138"/>
      <c r="B94" s="39" t="s">
        <v>415</v>
      </c>
      <c r="C94" s="39"/>
      <c r="D94" s="459"/>
      <c r="E94" s="306" t="n">
        <f aca="false">-SUM(E89,E92:E93)*USTax</f>
        <v>-0</v>
      </c>
      <c r="F94" s="306" t="n">
        <f aca="false">-SUM(F89,F92:F93)*USTax</f>
        <v>-0</v>
      </c>
      <c r="G94" s="306" t="n">
        <f aca="false">-SUM(G89,G92:G93)*USTax</f>
        <v>-0</v>
      </c>
      <c r="H94" s="306" t="n">
        <f aca="false">-SUM(H89,H92:H93)*USTax</f>
        <v>-0</v>
      </c>
      <c r="I94" s="306" t="n">
        <f aca="false">-SUM(I89,I92:I93)*USTax</f>
        <v>-0</v>
      </c>
      <c r="J94" s="306" t="n">
        <f aca="false">-SUM(J89,J92:J93)*USTax</f>
        <v>3.47327890027071</v>
      </c>
      <c r="K94" s="306" t="n">
        <f aca="false">-SUM(K89,K92:K93)*USTax</f>
        <v>3.47327890027071</v>
      </c>
      <c r="L94" s="306" t="n">
        <f aca="false">-SUM(L89,L92:L93)*USTax</f>
        <v>-38.9284838077349</v>
      </c>
      <c r="M94" s="306" t="n">
        <f aca="false">-SUM(M89,M92:M93)*USTax</f>
        <v>-90.4447441259495</v>
      </c>
      <c r="N94" s="306" t="n">
        <f aca="false">-SUM(N89,N92:N93)*USTax</f>
        <v>-131.646839131516</v>
      </c>
      <c r="O94" s="306" t="n">
        <f aca="false">-SUM(O89,O92:O93)*USTax</f>
        <v>-175.930868238498</v>
      </c>
      <c r="P94" s="306" t="n">
        <f aca="false">-SUM(P89,P92:P93)*USTax</f>
        <v>-221.115734787637</v>
      </c>
      <c r="Q94" s="306" t="n">
        <f aca="false">-SUM(Q89,Q92:Q93)*USTax</f>
        <v>-263.159384438032</v>
      </c>
      <c r="R94" s="306" t="n">
        <f aca="false">-SUM(R89,R92:R93)*USTax</f>
        <v>-270.585644383879</v>
      </c>
      <c r="S94" s="306" t="n">
        <f aca="false">-SUM(S89,S92:S93)*USTax</f>
        <v>-258.940302226111</v>
      </c>
      <c r="T94" s="306" t="n">
        <f aca="false">-SUM(T89,T92:T93)*USTax</f>
        <v>-250.295795648577</v>
      </c>
      <c r="U94" s="306" t="n">
        <f aca="false">-SUM(U89,U92:U93)*USTax</f>
        <v>-244.45404611051</v>
      </c>
      <c r="V94" s="306" t="n">
        <f aca="false">-SUM(V89,V92:V93)*USTax</f>
        <v>-211.45310253531</v>
      </c>
      <c r="W94" s="306" t="n">
        <f aca="false">-SUM(W89,W92:W93)*USTax</f>
        <v>-168.321316491429</v>
      </c>
      <c r="X94" s="306" t="n">
        <f aca="false">-SUM(X89,X92:X93)*USTax</f>
        <v>-103.343805211085</v>
      </c>
      <c r="Y94" s="306" t="n">
        <f aca="false">-SUM(Y89,Y92:Y93)*USTax</f>
        <v>5.22052924913097</v>
      </c>
      <c r="Z94" s="306" t="n">
        <f aca="false">-SUM(Z89,Z92:Z93)*USTax</f>
        <v>81.9531008716851</v>
      </c>
      <c r="AA94" s="307" t="n">
        <f aca="false">SUM(D94:Z94)</f>
        <v>-2334.49987921491</v>
      </c>
      <c r="AB94" s="307" t="n">
        <f aca="false">$E94+NPV(Disc,$F94:Z94)</f>
        <v>-259.24893405434</v>
      </c>
      <c r="AD94" s="369"/>
      <c r="AE94" s="369"/>
      <c r="AF94" s="369"/>
      <c r="AG94" s="369"/>
      <c r="AH94" s="369"/>
      <c r="AI94" s="369"/>
      <c r="AJ94" s="369"/>
      <c r="AK94" s="369"/>
      <c r="AL94" s="369"/>
      <c r="AM94" s="369"/>
      <c r="AN94" s="369"/>
      <c r="AO94" s="369"/>
      <c r="AP94" s="369"/>
      <c r="AQ94" s="369"/>
      <c r="AR94" s="369"/>
      <c r="AS94" s="369"/>
      <c r="AT94" s="369"/>
      <c r="AU94" s="369"/>
      <c r="AV94" s="369"/>
      <c r="AW94" s="369"/>
      <c r="AX94" s="369"/>
      <c r="AY94" s="369"/>
      <c r="AZ94" s="369"/>
      <c r="BA94" s="369"/>
      <c r="BB94" s="369"/>
      <c r="BC94" s="369"/>
      <c r="BD94" s="369"/>
      <c r="BE94" s="369"/>
      <c r="BF94" s="369"/>
      <c r="BG94" s="369"/>
      <c r="BH94" s="369"/>
      <c r="BI94" s="369"/>
      <c r="BJ94" s="369"/>
      <c r="BK94" s="369"/>
      <c r="BL94" s="369"/>
      <c r="BM94" s="369"/>
      <c r="BN94" s="369"/>
      <c r="BO94" s="369"/>
      <c r="BP94" s="369"/>
      <c r="BQ94" s="369"/>
      <c r="BR94" s="369"/>
      <c r="BS94" s="369"/>
      <c r="BT94" s="369"/>
      <c r="BU94" s="369"/>
      <c r="BV94" s="369"/>
      <c r="BW94" s="369"/>
      <c r="BX94" s="369"/>
      <c r="BY94" s="369"/>
      <c r="BZ94" s="369"/>
      <c r="CA94" s="369"/>
      <c r="CB94" s="369"/>
      <c r="CC94" s="369"/>
      <c r="CD94" s="369"/>
      <c r="CE94" s="369"/>
      <c r="CF94" s="369"/>
      <c r="CG94" s="369"/>
      <c r="CH94" s="369"/>
      <c r="CI94" s="369"/>
      <c r="CJ94" s="369"/>
      <c r="CK94" s="369"/>
      <c r="CL94" s="369"/>
      <c r="CM94" s="369"/>
      <c r="CN94" s="369"/>
      <c r="CO94" s="369"/>
      <c r="CP94" s="369"/>
      <c r="CQ94" s="369"/>
      <c r="CR94" s="369"/>
      <c r="CS94" s="369"/>
      <c r="CT94" s="369"/>
      <c r="CU94" s="369"/>
      <c r="CV94" s="369"/>
      <c r="CW94" s="369"/>
      <c r="CX94" s="369"/>
      <c r="CY94" s="369"/>
      <c r="CZ94" s="369"/>
      <c r="DA94" s="369"/>
      <c r="DB94" s="369"/>
      <c r="DC94" s="369"/>
      <c r="DD94" s="369"/>
      <c r="DE94" s="369"/>
      <c r="DF94" s="369"/>
      <c r="DG94" s="369"/>
      <c r="DH94" s="369"/>
      <c r="DI94" s="369"/>
      <c r="DJ94" s="369"/>
      <c r="DK94" s="369"/>
      <c r="DL94" s="369"/>
      <c r="DM94" s="369"/>
      <c r="DN94" s="369"/>
      <c r="DO94" s="369"/>
      <c r="DP94" s="369"/>
      <c r="DQ94" s="369"/>
      <c r="DR94" s="369"/>
      <c r="DS94" s="369"/>
      <c r="DT94" s="369"/>
      <c r="DU94" s="369"/>
      <c r="DV94" s="369"/>
      <c r="DW94" s="369"/>
      <c r="DX94" s="369"/>
      <c r="DY94" s="369"/>
      <c r="DZ94" s="369"/>
      <c r="EA94" s="369"/>
      <c r="EB94" s="369"/>
      <c r="EC94" s="369"/>
      <c r="ED94" s="369"/>
      <c r="EE94" s="369"/>
      <c r="EF94" s="369"/>
      <c r="EG94" s="369"/>
      <c r="EH94" s="369"/>
      <c r="EI94" s="369"/>
      <c r="EJ94" s="369"/>
      <c r="EK94" s="369"/>
      <c r="EL94" s="369"/>
      <c r="EM94" s="369"/>
      <c r="EN94" s="369"/>
      <c r="EO94" s="369"/>
      <c r="EP94" s="369"/>
      <c r="EQ94" s="369"/>
      <c r="ER94" s="369"/>
      <c r="ES94" s="369"/>
      <c r="ET94" s="369"/>
      <c r="EU94" s="369"/>
      <c r="EV94" s="369"/>
      <c r="EW94" s="369"/>
      <c r="EX94" s="369"/>
      <c r="EY94" s="369"/>
      <c r="EZ94" s="369"/>
      <c r="FA94" s="369"/>
      <c r="FB94" s="369"/>
      <c r="FC94" s="369"/>
      <c r="FD94" s="369"/>
      <c r="FE94" s="369"/>
      <c r="FF94" s="369"/>
      <c r="FG94" s="369"/>
      <c r="FH94" s="369"/>
      <c r="FI94" s="369"/>
      <c r="FJ94" s="369"/>
      <c r="FK94" s="369"/>
      <c r="FL94" s="369"/>
      <c r="FM94" s="369"/>
      <c r="FN94" s="369"/>
      <c r="FO94" s="369"/>
      <c r="FP94" s="369"/>
      <c r="FQ94" s="369"/>
      <c r="FR94" s="369"/>
      <c r="FS94" s="369"/>
      <c r="FT94" s="369"/>
      <c r="FU94" s="369"/>
      <c r="FV94" s="369"/>
      <c r="FW94" s="369"/>
      <c r="FX94" s="369"/>
      <c r="FY94" s="369"/>
      <c r="FZ94" s="369"/>
      <c r="GA94" s="369"/>
      <c r="GB94" s="369"/>
      <c r="GC94" s="369"/>
      <c r="GD94" s="369"/>
      <c r="GE94" s="369"/>
      <c r="GF94" s="369"/>
      <c r="GG94" s="369"/>
      <c r="GH94" s="369"/>
      <c r="GI94" s="369"/>
      <c r="GJ94" s="369"/>
      <c r="GK94" s="369"/>
      <c r="GL94" s="369"/>
      <c r="GM94" s="369"/>
      <c r="GN94" s="369"/>
      <c r="GO94" s="369"/>
      <c r="GP94" s="369"/>
      <c r="GQ94" s="369"/>
      <c r="GR94" s="369"/>
      <c r="GS94" s="369"/>
      <c r="GT94" s="369"/>
      <c r="GU94" s="369"/>
      <c r="GV94" s="369"/>
      <c r="GW94" s="369"/>
      <c r="GX94" s="369"/>
      <c r="GY94" s="369"/>
      <c r="GZ94" s="369"/>
      <c r="HA94" s="369"/>
      <c r="HB94" s="369"/>
      <c r="HC94" s="369"/>
      <c r="HD94" s="369"/>
      <c r="HE94" s="369"/>
      <c r="HF94" s="369"/>
      <c r="HG94" s="369"/>
      <c r="HH94" s="369"/>
      <c r="HI94" s="369"/>
      <c r="HJ94" s="369"/>
      <c r="HK94" s="369"/>
      <c r="HL94" s="369"/>
      <c r="HM94" s="369"/>
      <c r="HN94" s="369"/>
      <c r="HO94" s="369"/>
      <c r="HP94" s="369"/>
      <c r="HQ94" s="369"/>
      <c r="HR94" s="369"/>
      <c r="HS94" s="369"/>
      <c r="HT94" s="369"/>
      <c r="HU94" s="369"/>
      <c r="HV94" s="369"/>
      <c r="HW94" s="369"/>
      <c r="HX94" s="369"/>
      <c r="HY94" s="369"/>
      <c r="HZ94" s="369"/>
      <c r="IA94" s="369"/>
      <c r="IB94" s="369"/>
      <c r="IC94" s="369"/>
      <c r="ID94" s="369"/>
      <c r="IE94" s="369"/>
      <c r="IF94" s="369"/>
      <c r="IG94" s="369"/>
      <c r="IH94" s="369"/>
      <c r="II94" s="369"/>
      <c r="IJ94" s="369"/>
      <c r="IK94" s="369"/>
      <c r="IL94" s="369"/>
      <c r="IM94" s="369"/>
      <c r="IN94" s="369"/>
      <c r="IO94" s="369"/>
      <c r="IP94" s="369"/>
      <c r="IQ94" s="369"/>
      <c r="IR94" s="369"/>
      <c r="IS94" s="369"/>
      <c r="IT94" s="369"/>
      <c r="IU94" s="369"/>
      <c r="IV94" s="369"/>
      <c r="IW94" s="369"/>
    </row>
    <row r="95" customFormat="false" ht="12.75" hidden="false" customHeight="false" outlineLevel="0" collapsed="false">
      <c r="A95" s="138"/>
      <c r="B95" s="39" t="s">
        <v>378</v>
      </c>
      <c r="C95" s="39"/>
      <c r="D95" s="368"/>
      <c r="E95" s="61" t="n">
        <f aca="false">SUM(E84:E94)</f>
        <v>-2489.23878211857</v>
      </c>
      <c r="F95" s="61" t="n">
        <f aca="false">SUM(F84:F94)</f>
        <v>-8434.70352809332</v>
      </c>
      <c r="G95" s="61" t="n">
        <f aca="false">SUM(G84:G94)</f>
        <v>0</v>
      </c>
      <c r="H95" s="61" t="n">
        <f aca="false">SUM(H84:H94)</f>
        <v>156.454004516699</v>
      </c>
      <c r="I95" s="61" t="n">
        <f aca="false">SUM(I84:I94)</f>
        <v>-1909.98931117142</v>
      </c>
      <c r="J95" s="61" t="n">
        <f aca="false">SUM(J84:J94)</f>
        <v>-2326.46622795698</v>
      </c>
      <c r="K95" s="61" t="n">
        <f aca="false">SUM(K84:K94)</f>
        <v>-1861.86418684672</v>
      </c>
      <c r="L95" s="61" t="n">
        <f aca="false">SUM(L84:L94)</f>
        <v>-1928.49245130852</v>
      </c>
      <c r="M95" s="61" t="n">
        <f aca="false">SUM(M84:M94)</f>
        <v>-1881.35383879179</v>
      </c>
      <c r="N95" s="61" t="n">
        <f aca="false">SUM(N84:N94)</f>
        <v>-1669.70266356863</v>
      </c>
      <c r="O95" s="61" t="n">
        <f aca="false">SUM(O84:O94)</f>
        <v>-565.115739938327</v>
      </c>
      <c r="P95" s="61" t="n">
        <f aca="false">SUM(P84:P94)</f>
        <v>530.308252798219</v>
      </c>
      <c r="Q95" s="61" t="n">
        <f aca="false">SUM(Q84:Q94)</f>
        <v>824.717012233297</v>
      </c>
      <c r="R95" s="61" t="n">
        <f aca="false">SUM(R84:R94)</f>
        <v>767.181695781186</v>
      </c>
      <c r="S95" s="61" t="n">
        <f aca="false">SUM(S84:S94)</f>
        <v>714.709732902637</v>
      </c>
      <c r="T95" s="61" t="n">
        <f aca="false">SUM(T84:T94)</f>
        <v>2053.80194767421</v>
      </c>
      <c r="U95" s="61" t="n">
        <f aca="false">SUM(U84:U94)</f>
        <v>2623.0847965691</v>
      </c>
      <c r="V95" s="61" t="n">
        <f aca="false">SUM(V84:V94)</f>
        <v>3723.84823002301</v>
      </c>
      <c r="W95" s="61" t="n">
        <f aca="false">SUM(W84:W94)</f>
        <v>5813.05530562633</v>
      </c>
      <c r="X95" s="61" t="n">
        <f aca="false">SUM(X84:X94)</f>
        <v>6038.70220711931</v>
      </c>
      <c r="Y95" s="61" t="n">
        <f aca="false">SUM(Y84:Y94)</f>
        <v>6132.88449874677</v>
      </c>
      <c r="Z95" s="61" t="n">
        <f aca="false">SUM(Z84:Z94)</f>
        <v>73831.7156634735</v>
      </c>
      <c r="AA95" s="304" t="n">
        <f aca="false">SUM(D95:Z95)</f>
        <v>80143.53661767</v>
      </c>
      <c r="AB95" s="304" t="n">
        <f aca="false">SUM(AB84:AB94)</f>
        <v>-10146.4182919475</v>
      </c>
      <c r="AD95" s="416"/>
      <c r="AE95" s="416"/>
      <c r="AF95" s="416"/>
      <c r="AG95" s="416"/>
      <c r="AH95" s="416"/>
      <c r="AI95" s="416"/>
      <c r="AJ95" s="416"/>
      <c r="AK95" s="416"/>
      <c r="AL95" s="416"/>
      <c r="AM95" s="416"/>
      <c r="AN95" s="416"/>
      <c r="AO95" s="416"/>
      <c r="AP95" s="416"/>
      <c r="AQ95" s="416"/>
      <c r="AR95" s="416"/>
      <c r="AS95" s="416"/>
      <c r="AT95" s="416"/>
      <c r="AU95" s="416"/>
      <c r="AV95" s="416"/>
      <c r="AW95" s="416"/>
      <c r="AX95" s="416"/>
      <c r="AY95" s="416"/>
      <c r="AZ95" s="416"/>
      <c r="BA95" s="416"/>
      <c r="BB95" s="416"/>
      <c r="BC95" s="416"/>
      <c r="BD95" s="416"/>
      <c r="BE95" s="416"/>
      <c r="BF95" s="416"/>
      <c r="BG95" s="416"/>
      <c r="BH95" s="416"/>
      <c r="BI95" s="416"/>
      <c r="BJ95" s="416"/>
      <c r="BK95" s="416"/>
      <c r="BL95" s="416"/>
      <c r="BM95" s="416"/>
      <c r="BN95" s="416"/>
      <c r="BO95" s="416"/>
      <c r="BP95" s="416"/>
      <c r="BQ95" s="416"/>
      <c r="BR95" s="416"/>
      <c r="BS95" s="416"/>
      <c r="BT95" s="416"/>
      <c r="BU95" s="416"/>
      <c r="BV95" s="416"/>
      <c r="BW95" s="416"/>
      <c r="BX95" s="416"/>
      <c r="BY95" s="416"/>
      <c r="BZ95" s="416"/>
      <c r="CA95" s="416"/>
      <c r="CB95" s="416"/>
      <c r="CC95" s="416"/>
      <c r="CD95" s="416"/>
      <c r="CE95" s="416"/>
      <c r="CF95" s="416"/>
      <c r="CG95" s="416"/>
      <c r="CH95" s="416"/>
      <c r="CI95" s="416"/>
      <c r="CJ95" s="416"/>
      <c r="CK95" s="416"/>
      <c r="CL95" s="416"/>
      <c r="CM95" s="416"/>
      <c r="CN95" s="416"/>
      <c r="CO95" s="416"/>
      <c r="CP95" s="416"/>
      <c r="CQ95" s="416"/>
      <c r="CR95" s="416"/>
      <c r="CS95" s="416"/>
      <c r="CT95" s="416"/>
      <c r="CU95" s="416"/>
      <c r="CV95" s="416"/>
      <c r="CW95" s="416"/>
      <c r="CX95" s="416"/>
      <c r="CY95" s="416"/>
      <c r="CZ95" s="416"/>
      <c r="DA95" s="416"/>
      <c r="DB95" s="416"/>
      <c r="DC95" s="416"/>
      <c r="DD95" s="416"/>
      <c r="DE95" s="416"/>
      <c r="DF95" s="416"/>
      <c r="DG95" s="416"/>
      <c r="DH95" s="416"/>
      <c r="DI95" s="416"/>
      <c r="DJ95" s="416"/>
      <c r="DK95" s="416"/>
      <c r="DL95" s="416"/>
      <c r="DM95" s="416"/>
      <c r="DN95" s="416"/>
      <c r="DO95" s="416"/>
      <c r="DP95" s="416"/>
      <c r="DQ95" s="416"/>
      <c r="DR95" s="416"/>
      <c r="DS95" s="416"/>
      <c r="DT95" s="416"/>
      <c r="DU95" s="416"/>
      <c r="DV95" s="416"/>
      <c r="DW95" s="416"/>
      <c r="DX95" s="416"/>
      <c r="DY95" s="416"/>
      <c r="DZ95" s="416"/>
      <c r="EA95" s="416"/>
      <c r="EB95" s="416"/>
      <c r="EC95" s="416"/>
      <c r="ED95" s="416"/>
      <c r="EE95" s="416"/>
      <c r="EF95" s="416"/>
      <c r="EG95" s="416"/>
      <c r="EH95" s="416"/>
      <c r="EI95" s="416"/>
      <c r="EJ95" s="416"/>
      <c r="EK95" s="416"/>
      <c r="EL95" s="416"/>
      <c r="EM95" s="416"/>
      <c r="EN95" s="416"/>
      <c r="EO95" s="416"/>
      <c r="EP95" s="416"/>
      <c r="EQ95" s="416"/>
      <c r="ER95" s="416"/>
      <c r="ES95" s="416"/>
      <c r="ET95" s="416"/>
      <c r="EU95" s="416"/>
      <c r="EV95" s="416"/>
      <c r="EW95" s="416"/>
      <c r="EX95" s="416"/>
      <c r="EY95" s="416"/>
      <c r="EZ95" s="416"/>
      <c r="FA95" s="416"/>
      <c r="FB95" s="416"/>
      <c r="FC95" s="416"/>
      <c r="FD95" s="416"/>
      <c r="FE95" s="416"/>
      <c r="FF95" s="416"/>
      <c r="FG95" s="416"/>
      <c r="FH95" s="416"/>
      <c r="FI95" s="416"/>
      <c r="FJ95" s="416"/>
      <c r="FK95" s="416"/>
      <c r="FL95" s="416"/>
      <c r="FM95" s="416"/>
      <c r="FN95" s="416"/>
      <c r="FO95" s="416"/>
      <c r="FP95" s="416"/>
      <c r="FQ95" s="416"/>
      <c r="FR95" s="416"/>
      <c r="FS95" s="416"/>
      <c r="FT95" s="416"/>
      <c r="FU95" s="416"/>
      <c r="FV95" s="416"/>
      <c r="FW95" s="416"/>
      <c r="FX95" s="416"/>
      <c r="FY95" s="416"/>
      <c r="FZ95" s="416"/>
      <c r="GA95" s="416"/>
      <c r="GB95" s="416"/>
      <c r="GC95" s="416"/>
      <c r="GD95" s="416"/>
      <c r="GE95" s="416"/>
      <c r="GF95" s="416"/>
      <c r="GG95" s="416"/>
      <c r="GH95" s="416"/>
      <c r="GI95" s="416"/>
      <c r="GJ95" s="416"/>
      <c r="GK95" s="416"/>
      <c r="GL95" s="416"/>
      <c r="GM95" s="416"/>
      <c r="GN95" s="416"/>
      <c r="GO95" s="416"/>
      <c r="GP95" s="416"/>
      <c r="GQ95" s="416"/>
      <c r="GR95" s="416"/>
      <c r="GS95" s="416"/>
      <c r="GT95" s="416"/>
      <c r="GU95" s="416"/>
      <c r="GV95" s="416"/>
      <c r="GW95" s="416"/>
      <c r="GX95" s="416"/>
      <c r="GY95" s="416"/>
      <c r="GZ95" s="416"/>
      <c r="HA95" s="416"/>
      <c r="HB95" s="416"/>
      <c r="HC95" s="416"/>
      <c r="HD95" s="416"/>
      <c r="HE95" s="416"/>
      <c r="HF95" s="416"/>
      <c r="HG95" s="416"/>
      <c r="HH95" s="416"/>
      <c r="HI95" s="416"/>
      <c r="HJ95" s="416"/>
      <c r="HK95" s="416"/>
      <c r="HL95" s="416"/>
      <c r="HM95" s="416"/>
      <c r="HN95" s="416"/>
      <c r="HO95" s="416"/>
      <c r="HP95" s="416"/>
      <c r="HQ95" s="416"/>
      <c r="HR95" s="416"/>
      <c r="HS95" s="416"/>
      <c r="HT95" s="416"/>
      <c r="HU95" s="416"/>
      <c r="HV95" s="416"/>
      <c r="HW95" s="416"/>
      <c r="HX95" s="416"/>
      <c r="HY95" s="416"/>
      <c r="HZ95" s="416"/>
      <c r="IA95" s="416"/>
      <c r="IB95" s="416"/>
      <c r="IC95" s="416"/>
      <c r="ID95" s="416"/>
      <c r="IE95" s="416"/>
      <c r="IF95" s="416"/>
      <c r="IG95" s="416"/>
      <c r="IH95" s="416"/>
      <c r="II95" s="416"/>
      <c r="IJ95" s="416"/>
      <c r="IK95" s="416"/>
      <c r="IL95" s="416"/>
      <c r="IM95" s="416"/>
      <c r="IN95" s="416"/>
      <c r="IO95" s="416"/>
      <c r="IP95" s="416"/>
      <c r="IQ95" s="416"/>
      <c r="IR95" s="416"/>
      <c r="IS95" s="416"/>
      <c r="IT95" s="416"/>
      <c r="IU95" s="416"/>
      <c r="IV95" s="416"/>
      <c r="IW95" s="416"/>
    </row>
    <row r="96" customFormat="false" ht="12.75" hidden="false" customHeight="false" outlineLevel="0" collapsed="false">
      <c r="A96" s="138"/>
      <c r="B96" s="39"/>
      <c r="C96" s="39"/>
      <c r="D96" s="368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304"/>
      <c r="AB96" s="298"/>
      <c r="AD96" s="416"/>
      <c r="AE96" s="416"/>
      <c r="AF96" s="416"/>
      <c r="AG96" s="416"/>
      <c r="AH96" s="416"/>
      <c r="AI96" s="416"/>
      <c r="AJ96" s="416"/>
      <c r="AK96" s="416"/>
      <c r="AL96" s="416"/>
      <c r="AM96" s="416"/>
      <c r="AN96" s="416"/>
      <c r="AO96" s="416"/>
      <c r="AP96" s="416"/>
      <c r="AQ96" s="416"/>
      <c r="AR96" s="416"/>
      <c r="AS96" s="416"/>
      <c r="AT96" s="416"/>
      <c r="AU96" s="416"/>
      <c r="AV96" s="416"/>
      <c r="AW96" s="416"/>
      <c r="AX96" s="416"/>
      <c r="AY96" s="416"/>
      <c r="AZ96" s="416"/>
      <c r="BA96" s="416"/>
      <c r="BB96" s="416"/>
      <c r="BC96" s="416"/>
      <c r="BD96" s="416"/>
      <c r="BE96" s="416"/>
      <c r="BF96" s="416"/>
      <c r="BG96" s="416"/>
      <c r="BH96" s="416"/>
      <c r="BI96" s="416"/>
      <c r="BJ96" s="416"/>
      <c r="BK96" s="416"/>
      <c r="BL96" s="416"/>
      <c r="BM96" s="416"/>
      <c r="BN96" s="416"/>
      <c r="BO96" s="416"/>
      <c r="BP96" s="416"/>
      <c r="BQ96" s="416"/>
      <c r="BR96" s="416"/>
      <c r="BS96" s="416"/>
      <c r="BT96" s="416"/>
      <c r="BU96" s="416"/>
      <c r="BV96" s="416"/>
      <c r="BW96" s="416"/>
      <c r="BX96" s="416"/>
      <c r="BY96" s="416"/>
      <c r="BZ96" s="416"/>
      <c r="CA96" s="416"/>
      <c r="CB96" s="416"/>
      <c r="CC96" s="416"/>
      <c r="CD96" s="416"/>
      <c r="CE96" s="416"/>
      <c r="CF96" s="416"/>
      <c r="CG96" s="416"/>
      <c r="CH96" s="416"/>
      <c r="CI96" s="416"/>
      <c r="CJ96" s="416"/>
      <c r="CK96" s="416"/>
      <c r="CL96" s="416"/>
      <c r="CM96" s="416"/>
      <c r="CN96" s="416"/>
      <c r="CO96" s="416"/>
      <c r="CP96" s="416"/>
      <c r="CQ96" s="416"/>
      <c r="CR96" s="416"/>
      <c r="CS96" s="416"/>
      <c r="CT96" s="416"/>
      <c r="CU96" s="416"/>
      <c r="CV96" s="416"/>
      <c r="CW96" s="416"/>
      <c r="CX96" s="416"/>
      <c r="CY96" s="416"/>
      <c r="CZ96" s="416"/>
      <c r="DA96" s="416"/>
      <c r="DB96" s="416"/>
      <c r="DC96" s="416"/>
      <c r="DD96" s="416"/>
      <c r="DE96" s="416"/>
      <c r="DF96" s="416"/>
      <c r="DG96" s="416"/>
      <c r="DH96" s="416"/>
      <c r="DI96" s="416"/>
      <c r="DJ96" s="416"/>
      <c r="DK96" s="416"/>
      <c r="DL96" s="416"/>
      <c r="DM96" s="416"/>
      <c r="DN96" s="416"/>
      <c r="DO96" s="416"/>
      <c r="DP96" s="416"/>
      <c r="DQ96" s="416"/>
      <c r="DR96" s="416"/>
      <c r="DS96" s="416"/>
      <c r="DT96" s="416"/>
      <c r="DU96" s="416"/>
      <c r="DV96" s="416"/>
      <c r="DW96" s="416"/>
      <c r="DX96" s="416"/>
      <c r="DY96" s="416"/>
      <c r="DZ96" s="416"/>
      <c r="EA96" s="416"/>
      <c r="EB96" s="416"/>
      <c r="EC96" s="416"/>
      <c r="ED96" s="416"/>
      <c r="EE96" s="416"/>
      <c r="EF96" s="416"/>
      <c r="EG96" s="416"/>
      <c r="EH96" s="416"/>
      <c r="EI96" s="416"/>
      <c r="EJ96" s="416"/>
      <c r="EK96" s="416"/>
      <c r="EL96" s="416"/>
      <c r="EM96" s="416"/>
      <c r="EN96" s="416"/>
      <c r="EO96" s="416"/>
      <c r="EP96" s="416"/>
      <c r="EQ96" s="416"/>
      <c r="ER96" s="416"/>
      <c r="ES96" s="416"/>
      <c r="ET96" s="416"/>
      <c r="EU96" s="416"/>
      <c r="EV96" s="416"/>
      <c r="EW96" s="416"/>
      <c r="EX96" s="416"/>
      <c r="EY96" s="416"/>
      <c r="EZ96" s="416"/>
      <c r="FA96" s="416"/>
      <c r="FB96" s="416"/>
      <c r="FC96" s="416"/>
      <c r="FD96" s="416"/>
      <c r="FE96" s="416"/>
      <c r="FF96" s="416"/>
      <c r="FG96" s="416"/>
      <c r="FH96" s="416"/>
      <c r="FI96" s="416"/>
      <c r="FJ96" s="416"/>
      <c r="FK96" s="416"/>
      <c r="FL96" s="416"/>
      <c r="FM96" s="416"/>
      <c r="FN96" s="416"/>
      <c r="FO96" s="416"/>
      <c r="FP96" s="416"/>
      <c r="FQ96" s="416"/>
      <c r="FR96" s="416"/>
      <c r="FS96" s="416"/>
      <c r="FT96" s="416"/>
      <c r="FU96" s="416"/>
      <c r="FV96" s="416"/>
      <c r="FW96" s="416"/>
      <c r="FX96" s="416"/>
      <c r="FY96" s="416"/>
      <c r="FZ96" s="416"/>
      <c r="GA96" s="416"/>
      <c r="GB96" s="416"/>
      <c r="GC96" s="416"/>
      <c r="GD96" s="416"/>
      <c r="GE96" s="416"/>
      <c r="GF96" s="416"/>
      <c r="GG96" s="416"/>
      <c r="GH96" s="416"/>
      <c r="GI96" s="416"/>
      <c r="GJ96" s="416"/>
      <c r="GK96" s="416"/>
      <c r="GL96" s="416"/>
      <c r="GM96" s="416"/>
      <c r="GN96" s="416"/>
      <c r="GO96" s="416"/>
      <c r="GP96" s="416"/>
      <c r="GQ96" s="416"/>
      <c r="GR96" s="416"/>
      <c r="GS96" s="416"/>
      <c r="GT96" s="416"/>
      <c r="GU96" s="416"/>
      <c r="GV96" s="416"/>
      <c r="GW96" s="416"/>
      <c r="GX96" s="416"/>
      <c r="GY96" s="416"/>
      <c r="GZ96" s="416"/>
      <c r="HA96" s="416"/>
      <c r="HB96" s="416"/>
      <c r="HC96" s="416"/>
      <c r="HD96" s="416"/>
      <c r="HE96" s="416"/>
      <c r="HF96" s="416"/>
      <c r="HG96" s="416"/>
      <c r="HH96" s="416"/>
      <c r="HI96" s="416"/>
      <c r="HJ96" s="416"/>
      <c r="HK96" s="416"/>
      <c r="HL96" s="416"/>
      <c r="HM96" s="416"/>
      <c r="HN96" s="416"/>
      <c r="HO96" s="416"/>
      <c r="HP96" s="416"/>
      <c r="HQ96" s="416"/>
      <c r="HR96" s="416"/>
      <c r="HS96" s="416"/>
      <c r="HT96" s="416"/>
      <c r="HU96" s="416"/>
      <c r="HV96" s="416"/>
      <c r="HW96" s="416"/>
      <c r="HX96" s="416"/>
      <c r="HY96" s="416"/>
      <c r="HZ96" s="416"/>
      <c r="IA96" s="416"/>
      <c r="IB96" s="416"/>
      <c r="IC96" s="416"/>
      <c r="ID96" s="416"/>
      <c r="IE96" s="416"/>
      <c r="IF96" s="416"/>
      <c r="IG96" s="416"/>
      <c r="IH96" s="416"/>
      <c r="II96" s="416"/>
      <c r="IJ96" s="416"/>
      <c r="IK96" s="416"/>
      <c r="IL96" s="416"/>
      <c r="IM96" s="416"/>
      <c r="IN96" s="416"/>
      <c r="IO96" s="416"/>
      <c r="IP96" s="416"/>
      <c r="IQ96" s="416"/>
      <c r="IR96" s="416"/>
      <c r="IS96" s="416"/>
      <c r="IT96" s="416"/>
      <c r="IU96" s="416"/>
      <c r="IV96" s="416"/>
      <c r="IW96" s="416"/>
    </row>
    <row r="97" customFormat="false" ht="12.75" hidden="false" customHeight="false" outlineLevel="0" collapsed="false">
      <c r="A97" s="138"/>
      <c r="B97" s="39" t="s">
        <v>379</v>
      </c>
      <c r="C97" s="39"/>
      <c r="D97" s="315"/>
      <c r="E97" s="61" t="n">
        <f aca="false">$E95</f>
        <v>-2489.23878211857</v>
      </c>
      <c r="F97" s="61" t="n">
        <f aca="false">$E95+NPV(Disc,$F95:F95)</f>
        <v>-9577.22494018018</v>
      </c>
      <c r="G97" s="61" t="n">
        <f aca="false">$E95+NPV(Disc,$F95:G95)</f>
        <v>-9577.22494018018</v>
      </c>
      <c r="H97" s="61" t="n">
        <f aca="false">$E95+NPV(Disc,$F95:H95)</f>
        <v>-9484.38265970891</v>
      </c>
      <c r="I97" s="61" t="n">
        <f aca="false">$E95+NPV(Disc,$F95:I95)</f>
        <v>-10436.8346447132</v>
      </c>
      <c r="J97" s="61" t="n">
        <f aca="false">$E95+NPV(Disc,$F95:J95)</f>
        <v>-11411.7388540308</v>
      </c>
      <c r="K97" s="61" t="n">
        <f aca="false">$E95+NPV(Disc,$F95:K95)</f>
        <v>-12067.3800441628</v>
      </c>
      <c r="L97" s="61" t="n">
        <f aca="false">$E95+NPV(Disc,$F95:L95)</f>
        <v>-12638.0555251077</v>
      </c>
      <c r="M97" s="61" t="n">
        <f aca="false">$E95+NPV(Disc,$F95:M95)</f>
        <v>-13105.8927693347</v>
      </c>
      <c r="N97" s="61" t="n">
        <f aca="false">$E95+NPV(Disc,$F95:N95)</f>
        <v>-13454.8052362735</v>
      </c>
      <c r="O97" s="61" t="n">
        <f aca="false">$E95+NPV(Disc,$F95:O95)</f>
        <v>-13554.0409025135</v>
      </c>
      <c r="P97" s="61" t="n">
        <f aca="false">$E95+NPV(Disc,$F95:P95)</f>
        <v>-13475.7859539246</v>
      </c>
      <c r="Q97" s="61" t="n">
        <f aca="false">$E95+NPV(Disc,$F95:Q95)</f>
        <v>-13373.5175644888</v>
      </c>
      <c r="R97" s="61" t="n">
        <f aca="false">$E95+NPV(Disc,$F95:R95)</f>
        <v>-13293.5732221159</v>
      </c>
      <c r="S97" s="61" t="n">
        <f aca="false">$E95+NPV(Disc,$F95:S95)</f>
        <v>-13230.9879367408</v>
      </c>
      <c r="T97" s="61" t="n">
        <f aca="false">$E95+NPV(Disc,$F95:T95)</f>
        <v>-13079.8567333396</v>
      </c>
      <c r="U97" s="61" t="n">
        <f aca="false">$E95+NPV(Disc,$F95:U95)</f>
        <v>-12917.6529618581</v>
      </c>
      <c r="V97" s="61" t="n">
        <f aca="false">$E95+NPV(Disc,$F95:V95)</f>
        <v>-12724.1473213593</v>
      </c>
      <c r="W97" s="61" t="n">
        <f aca="false">$E95+NPV(Disc,$F95:W95)</f>
        <v>-12470.3078528268</v>
      </c>
      <c r="X97" s="61" t="n">
        <f aca="false">$E95+NPV(Disc,$F95:X95)</f>
        <v>-12248.7172459742</v>
      </c>
      <c r="Y97" s="61" t="n">
        <f aca="false">$E95+NPV(Disc,$F95:Y95)</f>
        <v>-12059.6024285453</v>
      </c>
      <c r="Z97" s="61" t="n">
        <f aca="false">$E95+NPV(Disc,$F95:Z95)</f>
        <v>-10146.4182919475</v>
      </c>
      <c r="AA97" s="304"/>
      <c r="AB97" s="298"/>
    </row>
    <row r="98" customFormat="false" ht="12.75" hidden="false" customHeight="false" outlineLevel="0" collapsed="false">
      <c r="A98" s="138"/>
      <c r="B98" s="39" t="s">
        <v>380</v>
      </c>
      <c r="C98" s="39"/>
      <c r="D98" s="107"/>
      <c r="E98" s="107" t="e">
        <f aca="false">IRR($E95:E95,-0.9)</f>
        <v>#N/A</v>
      </c>
      <c r="F98" s="107" t="e">
        <f aca="false">IRR($E95:F95,-0.9)</f>
        <v>#N/A</v>
      </c>
      <c r="G98" s="107" t="e">
        <f aca="false">IRR($E95:G95,-0.9)</f>
        <v>#N/A</v>
      </c>
      <c r="H98" s="107" t="n">
        <f aca="false">IRR($E95:H95,-0.9)</f>
        <v>-0.866413646309507</v>
      </c>
      <c r="I98" s="107" t="e">
        <f aca="false">IRR($E95:I95,-0.9)</f>
        <v>#N/A</v>
      </c>
      <c r="J98" s="107" t="e">
        <f aca="false">IRR($E95:J95,-0.9)</f>
        <v>#N/A</v>
      </c>
      <c r="K98" s="107" t="e">
        <f aca="false">IRR($E95:K95,-0.9)</f>
        <v>#N/A</v>
      </c>
      <c r="L98" s="107" t="e">
        <f aca="false">IRR($E95:L95,-0.9)</f>
        <v>#N/A</v>
      </c>
      <c r="M98" s="107" t="e">
        <f aca="false">IRR($E95:M95,-0.9)</f>
        <v>#N/A</v>
      </c>
      <c r="N98" s="107" t="e">
        <f aca="false">IRR($E95:N95,-0.9)</f>
        <v>#N/A</v>
      </c>
      <c r="O98" s="107" t="e">
        <f aca="false">IRR($E95:O95,-0.9)</f>
        <v>#N/A</v>
      </c>
      <c r="P98" s="107" t="e">
        <f aca="false">IRR($E95:P95,-0.9)</f>
        <v>#N/A</v>
      </c>
      <c r="Q98" s="107" t="e">
        <f aca="false">IRR($E95:Q95,-0.9)</f>
        <v>#N/A</v>
      </c>
      <c r="R98" s="107" t="e">
        <f aca="false">IRR($E95:R95,-0.9)</f>
        <v>#N/A</v>
      </c>
      <c r="S98" s="107" t="e">
        <f aca="false">IRR($E95:S95,-0.9)</f>
        <v>#N/A</v>
      </c>
      <c r="T98" s="107" t="e">
        <f aca="false">IRR($E95:T95,-0.9)</f>
        <v>#N/A</v>
      </c>
      <c r="U98" s="107" t="e">
        <f aca="false">IRR($E95:U95,-0.9)</f>
        <v>#N/A</v>
      </c>
      <c r="V98" s="107" t="e">
        <f aca="false">IRR($E95:V95,-0.9)</f>
        <v>#N/A</v>
      </c>
      <c r="W98" s="107" t="e">
        <f aca="false">IRR($E95:W95,-0.9)</f>
        <v>#N/A</v>
      </c>
      <c r="X98" s="107" t="e">
        <f aca="false">IRR($E95:X95,-0.9)</f>
        <v>#N/A</v>
      </c>
      <c r="Y98" s="107" t="e">
        <f aca="false">IRR($E95:Y95,-0.9)</f>
        <v>#N/A</v>
      </c>
      <c r="Z98" s="107" t="e">
        <f aca="false">IRR($E95:Z95,-0.9)</f>
        <v>#N/A</v>
      </c>
      <c r="AA98" s="298"/>
      <c r="AB98" s="371" t="n">
        <f aca="false">IRR(E95:Z95)</f>
        <v>0.0956886762812887</v>
      </c>
    </row>
    <row r="99" customFormat="false" ht="12.75" hidden="false" customHeight="false" outlineLevel="0" collapsed="false">
      <c r="A99" s="138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298"/>
      <c r="AB99" s="298"/>
    </row>
    <row r="100" customFormat="false" ht="12.75" hidden="false" customHeight="false" outlineLevel="0" collapsed="false">
      <c r="A100" s="138"/>
      <c r="B100" s="374" t="str">
        <f aca="false">CONCATENATE(Assm!$H$69," NPV @ ",TEXT(Disc,"0.0%"))</f>
        <v>Shell NPV @ 19.0%</v>
      </c>
      <c r="C100" s="375" t="n">
        <f aca="false">AB95</f>
        <v>-10146.4182919475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298"/>
      <c r="AB100" s="298"/>
    </row>
    <row r="101" customFormat="false" ht="13.5" hidden="false" customHeight="false" outlineLevel="0" collapsed="false">
      <c r="A101" s="225"/>
      <c r="B101" s="378" t="str">
        <f aca="false">CONCATENATE(Assm!$H$69," IRR")</f>
        <v>Shell IRR</v>
      </c>
      <c r="C101" s="461" t="n">
        <f aca="false">AB98</f>
        <v>0.0956886762812887</v>
      </c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349"/>
      <c r="AB101" s="349"/>
    </row>
    <row r="102" customFormat="false" ht="13.5" hidden="false" customHeight="false" outlineLevel="0" collapsed="false">
      <c r="A102" s="47"/>
      <c r="B102" s="38"/>
      <c r="C102" s="38"/>
      <c r="D102" s="462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</row>
    <row r="103" customFormat="false" ht="12.75" hidden="false" customHeight="false" outlineLevel="0" collapsed="false">
      <c r="A103" s="361" t="str">
        <f aca="false">CONCATENATE(Assm!H70," Returns")</f>
        <v>Transredes Returns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87"/>
      <c r="AB103" s="287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</row>
    <row r="104" customFormat="false" ht="12.75" hidden="false" customHeight="false" outlineLevel="0" collapsed="false">
      <c r="A104" s="457" t="n">
        <f aca="false">Assm!$K$70</f>
        <v>0.125</v>
      </c>
      <c r="B104" s="39" t="s">
        <v>372</v>
      </c>
      <c r="C104" s="39"/>
      <c r="D104" s="315"/>
      <c r="E104" s="61" t="n">
        <f aca="false">E$10*$A104</f>
        <v>-829.746260706189</v>
      </c>
      <c r="F104" s="61" t="n">
        <f aca="false">F$10*$A104</f>
        <v>-2811.56784269777</v>
      </c>
      <c r="G104" s="61" t="n">
        <f aca="false">G$10*$A104</f>
        <v>-0</v>
      </c>
      <c r="H104" s="61" t="n">
        <f aca="false">H$10*$A104</f>
        <v>-0</v>
      </c>
      <c r="I104" s="61" t="n">
        <f aca="false">I$10*$A104</f>
        <v>-0</v>
      </c>
      <c r="J104" s="61" t="n">
        <f aca="false">J$10*$A104</f>
        <v>-0</v>
      </c>
      <c r="K104" s="61" t="n">
        <f aca="false">K$10*$A104</f>
        <v>-0</v>
      </c>
      <c r="L104" s="61" t="n">
        <f aca="false">L$10*$A104</f>
        <v>-0</v>
      </c>
      <c r="M104" s="61" t="n">
        <f aca="false">M$10*$A104</f>
        <v>-0</v>
      </c>
      <c r="N104" s="61" t="n">
        <f aca="false">N$10*$A104</f>
        <v>-0</v>
      </c>
      <c r="O104" s="61" t="n">
        <f aca="false">O$10*$A104</f>
        <v>-0</v>
      </c>
      <c r="P104" s="61" t="n">
        <f aca="false">P$10*$A104</f>
        <v>-0</v>
      </c>
      <c r="Q104" s="61" t="n">
        <f aca="false">Q$10*$A104</f>
        <v>-0</v>
      </c>
      <c r="R104" s="61" t="n">
        <f aca="false">R$10*$A104</f>
        <v>-0</v>
      </c>
      <c r="S104" s="61" t="n">
        <f aca="false">S$10*$A104</f>
        <v>-0</v>
      </c>
      <c r="T104" s="61" t="n">
        <f aca="false">T$10*$A104</f>
        <v>-0</v>
      </c>
      <c r="U104" s="61" t="n">
        <f aca="false">U$10*$A104</f>
        <v>-0</v>
      </c>
      <c r="V104" s="61" t="n">
        <f aca="false">V$10*$A104</f>
        <v>-0</v>
      </c>
      <c r="W104" s="61" t="n">
        <f aca="false">W$10*$A104</f>
        <v>-0</v>
      </c>
      <c r="X104" s="61" t="n">
        <f aca="false">X$10*$A104</f>
        <v>-0</v>
      </c>
      <c r="Y104" s="61" t="n">
        <f aca="false">Y$10*$A104</f>
        <v>-0</v>
      </c>
      <c r="Z104" s="61" t="n">
        <f aca="false">Z$10*$A104</f>
        <v>-0</v>
      </c>
      <c r="AA104" s="304" t="n">
        <f aca="false">SUM(E104:Z104)</f>
        <v>-3641.31410340396</v>
      </c>
      <c r="AB104" s="304" t="n">
        <f aca="false">$E104+NPV(Disc,$F104:Z104)</f>
        <v>-3192.40831339339</v>
      </c>
    </row>
    <row r="105" customFormat="false" ht="12.75" hidden="false" customHeight="false" outlineLevel="0" collapsed="false">
      <c r="A105" s="457" t="n">
        <f aca="false">Assm!$L$70</f>
        <v>0.125</v>
      </c>
      <c r="B105" s="39" t="s">
        <v>373</v>
      </c>
      <c r="C105" s="39"/>
      <c r="D105" s="315"/>
      <c r="E105" s="61" t="n">
        <f aca="false">E$11*$A105</f>
        <v>0</v>
      </c>
      <c r="F105" s="61" t="n">
        <f aca="false">F$11*$A105</f>
        <v>0</v>
      </c>
      <c r="G105" s="61" t="n">
        <f aca="false">G$11*$A105</f>
        <v>0</v>
      </c>
      <c r="H105" s="61" t="n">
        <f aca="false">H$11*$A105</f>
        <v>0</v>
      </c>
      <c r="I105" s="61" t="n">
        <f aca="false">I$11*$A105</f>
        <v>0</v>
      </c>
      <c r="J105" s="61" t="n">
        <f aca="false">J$11*$A105</f>
        <v>0</v>
      </c>
      <c r="K105" s="61" t="n">
        <f aca="false">K$11*$A105</f>
        <v>0</v>
      </c>
      <c r="L105" s="61" t="n">
        <f aca="false">L$11*$A105</f>
        <v>0</v>
      </c>
      <c r="M105" s="61" t="n">
        <f aca="false">M$11*$A105</f>
        <v>0</v>
      </c>
      <c r="N105" s="61" t="n">
        <f aca="false">N$11*$A105</f>
        <v>0</v>
      </c>
      <c r="O105" s="61" t="n">
        <f aca="false">O$11*$A105</f>
        <v>0</v>
      </c>
      <c r="P105" s="61" t="n">
        <f aca="false">P$11*$A105</f>
        <v>0</v>
      </c>
      <c r="Q105" s="61" t="n">
        <f aca="false">Q$11*$A105</f>
        <v>0</v>
      </c>
      <c r="R105" s="61" t="n">
        <f aca="false">R$11*$A105</f>
        <v>0</v>
      </c>
      <c r="S105" s="61" t="n">
        <f aca="false">S$11*$A105</f>
        <v>0</v>
      </c>
      <c r="T105" s="61" t="n">
        <f aca="false">T$11*$A105</f>
        <v>0</v>
      </c>
      <c r="U105" s="61" t="n">
        <f aca="false">U$11*$A105</f>
        <v>0</v>
      </c>
      <c r="V105" s="61" t="n">
        <f aca="false">V$11*$A105</f>
        <v>0</v>
      </c>
      <c r="W105" s="61" t="n">
        <f aca="false">W$11*$A105</f>
        <v>0</v>
      </c>
      <c r="X105" s="61" t="n">
        <f aca="false">X$11*$A105</f>
        <v>518.794962697233</v>
      </c>
      <c r="Y105" s="61" t="n">
        <f aca="false">Y$11*$A105</f>
        <v>947.67110819052</v>
      </c>
      <c r="Z105" s="61" t="n">
        <f aca="false">Z$11*$A105</f>
        <v>2563.37544291885</v>
      </c>
      <c r="AA105" s="304" t="n">
        <f aca="false">SUM(E105:Z105)</f>
        <v>4029.8415138066</v>
      </c>
      <c r="AB105" s="304" t="n">
        <f aca="false">$E105+NPV(Disc,$F105:Z105)</f>
        <v>114.683942135506</v>
      </c>
    </row>
    <row r="106" customFormat="false" ht="12.75" hidden="false" customHeight="false" outlineLevel="0" collapsed="false">
      <c r="A106" s="138"/>
      <c r="B106" s="39" t="s">
        <v>384</v>
      </c>
      <c r="C106" s="458" t="n">
        <f aca="false">Wh_Div</f>
        <v>0</v>
      </c>
      <c r="D106" s="459"/>
      <c r="E106" s="61" t="n">
        <f aca="false">-E105*$C106</f>
        <v>-0</v>
      </c>
      <c r="F106" s="61" t="n">
        <f aca="false">-F105*$C106</f>
        <v>-0</v>
      </c>
      <c r="G106" s="61" t="n">
        <f aca="false">-G105*$C106</f>
        <v>-0</v>
      </c>
      <c r="H106" s="61" t="n">
        <f aca="false">-H105*$C106</f>
        <v>-0</v>
      </c>
      <c r="I106" s="61" t="n">
        <f aca="false">-I105*$C106</f>
        <v>-0</v>
      </c>
      <c r="J106" s="61" t="n">
        <f aca="false">-J105*$C106</f>
        <v>-0</v>
      </c>
      <c r="K106" s="61" t="n">
        <f aca="false">-K105*$C106</f>
        <v>-0</v>
      </c>
      <c r="L106" s="61" t="n">
        <f aca="false">-L105*$C106</f>
        <v>-0</v>
      </c>
      <c r="M106" s="61" t="n">
        <f aca="false">-M105*$C106</f>
        <v>-0</v>
      </c>
      <c r="N106" s="61" t="n">
        <f aca="false">-N105*$C106</f>
        <v>-0</v>
      </c>
      <c r="O106" s="61" t="n">
        <f aca="false">-O105*$C106</f>
        <v>-0</v>
      </c>
      <c r="P106" s="61" t="n">
        <f aca="false">-P105*$C106</f>
        <v>-0</v>
      </c>
      <c r="Q106" s="61" t="n">
        <f aca="false">-Q105*$C106</f>
        <v>-0</v>
      </c>
      <c r="R106" s="61" t="n">
        <f aca="false">-R105*$C106</f>
        <v>-0</v>
      </c>
      <c r="S106" s="61" t="n">
        <f aca="false">-S105*$C106</f>
        <v>-0</v>
      </c>
      <c r="T106" s="61" t="n">
        <f aca="false">-T105*$C106</f>
        <v>-0</v>
      </c>
      <c r="U106" s="61" t="n">
        <f aca="false">-U105*$C106</f>
        <v>-0</v>
      </c>
      <c r="V106" s="61" t="n">
        <f aca="false">-V105*$C106</f>
        <v>-0</v>
      </c>
      <c r="W106" s="61" t="n">
        <f aca="false">-W105*$C106</f>
        <v>-0</v>
      </c>
      <c r="X106" s="61" t="n">
        <f aca="false">-X105*$C106</f>
        <v>-0</v>
      </c>
      <c r="Y106" s="61" t="n">
        <f aca="false">-Y105*$C106</f>
        <v>-0</v>
      </c>
      <c r="Z106" s="61" t="n">
        <f aca="false">-Z105*$C106</f>
        <v>-0</v>
      </c>
      <c r="AA106" s="304" t="n">
        <f aca="false">SUM(D106:Z106)</f>
        <v>0</v>
      </c>
      <c r="AB106" s="304" t="n">
        <f aca="false">$E106+NPV(Disc,$F106:Z106)</f>
        <v>0</v>
      </c>
      <c r="AD106" s="369"/>
      <c r="AE106" s="369"/>
      <c r="AF106" s="369"/>
      <c r="AG106" s="369"/>
      <c r="AH106" s="369"/>
      <c r="AI106" s="369"/>
      <c r="AJ106" s="369"/>
      <c r="AK106" s="369"/>
      <c r="AL106" s="369"/>
      <c r="AM106" s="369"/>
      <c r="AN106" s="369"/>
      <c r="AO106" s="369"/>
      <c r="AP106" s="369"/>
      <c r="AQ106" s="369"/>
      <c r="AR106" s="369"/>
      <c r="AS106" s="369"/>
      <c r="AT106" s="369"/>
      <c r="AU106" s="369"/>
      <c r="AV106" s="369"/>
      <c r="AW106" s="369"/>
      <c r="AX106" s="369"/>
      <c r="AY106" s="369"/>
      <c r="AZ106" s="369"/>
      <c r="BA106" s="369"/>
      <c r="BB106" s="369"/>
      <c r="BC106" s="369"/>
      <c r="BD106" s="369"/>
      <c r="BE106" s="369"/>
      <c r="BF106" s="369"/>
      <c r="BG106" s="369"/>
      <c r="BH106" s="369"/>
      <c r="BI106" s="369"/>
      <c r="BJ106" s="369"/>
      <c r="BK106" s="369"/>
      <c r="BL106" s="369"/>
      <c r="BM106" s="369"/>
      <c r="BN106" s="369"/>
      <c r="BO106" s="369"/>
      <c r="BP106" s="369"/>
      <c r="BQ106" s="369"/>
      <c r="BR106" s="369"/>
      <c r="BS106" s="369"/>
      <c r="BT106" s="369"/>
      <c r="BU106" s="369"/>
      <c r="BV106" s="369"/>
      <c r="BW106" s="369"/>
      <c r="BX106" s="369"/>
      <c r="BY106" s="369"/>
      <c r="BZ106" s="369"/>
      <c r="CA106" s="369"/>
      <c r="CB106" s="369"/>
      <c r="CC106" s="369"/>
      <c r="CD106" s="369"/>
      <c r="CE106" s="369"/>
      <c r="CF106" s="369"/>
      <c r="CG106" s="369"/>
      <c r="CH106" s="369"/>
      <c r="CI106" s="369"/>
      <c r="CJ106" s="369"/>
      <c r="CK106" s="369"/>
      <c r="CL106" s="369"/>
      <c r="CM106" s="369"/>
      <c r="CN106" s="369"/>
      <c r="CO106" s="369"/>
      <c r="CP106" s="369"/>
      <c r="CQ106" s="369"/>
      <c r="CR106" s="369"/>
      <c r="CS106" s="369"/>
      <c r="CT106" s="369"/>
      <c r="CU106" s="369"/>
      <c r="CV106" s="369"/>
      <c r="CW106" s="369"/>
      <c r="CX106" s="369"/>
      <c r="CY106" s="369"/>
      <c r="CZ106" s="369"/>
      <c r="DA106" s="369"/>
      <c r="DB106" s="369"/>
      <c r="DC106" s="369"/>
      <c r="DD106" s="369"/>
      <c r="DE106" s="369"/>
      <c r="DF106" s="369"/>
      <c r="DG106" s="369"/>
      <c r="DH106" s="369"/>
      <c r="DI106" s="369"/>
      <c r="DJ106" s="369"/>
      <c r="DK106" s="369"/>
      <c r="DL106" s="369"/>
      <c r="DM106" s="369"/>
      <c r="DN106" s="369"/>
      <c r="DO106" s="369"/>
      <c r="DP106" s="369"/>
      <c r="DQ106" s="369"/>
      <c r="DR106" s="369"/>
      <c r="DS106" s="369"/>
      <c r="DT106" s="369"/>
      <c r="DU106" s="369"/>
      <c r="DV106" s="369"/>
      <c r="DW106" s="369"/>
      <c r="DX106" s="369"/>
      <c r="DY106" s="369"/>
      <c r="DZ106" s="369"/>
      <c r="EA106" s="369"/>
      <c r="EB106" s="369"/>
      <c r="EC106" s="369"/>
      <c r="ED106" s="369"/>
      <c r="EE106" s="369"/>
      <c r="EF106" s="369"/>
      <c r="EG106" s="369"/>
      <c r="EH106" s="369"/>
      <c r="EI106" s="369"/>
      <c r="EJ106" s="369"/>
      <c r="EK106" s="369"/>
      <c r="EL106" s="369"/>
      <c r="EM106" s="369"/>
      <c r="EN106" s="369"/>
      <c r="EO106" s="369"/>
      <c r="EP106" s="369"/>
      <c r="EQ106" s="369"/>
      <c r="ER106" s="369"/>
      <c r="ES106" s="369"/>
      <c r="ET106" s="369"/>
      <c r="EU106" s="369"/>
      <c r="EV106" s="369"/>
      <c r="EW106" s="369"/>
      <c r="EX106" s="369"/>
      <c r="EY106" s="369"/>
      <c r="EZ106" s="369"/>
      <c r="FA106" s="369"/>
      <c r="FB106" s="369"/>
      <c r="FC106" s="369"/>
      <c r="FD106" s="369"/>
      <c r="FE106" s="369"/>
      <c r="FF106" s="369"/>
      <c r="FG106" s="369"/>
      <c r="FH106" s="369"/>
      <c r="FI106" s="369"/>
      <c r="FJ106" s="369"/>
      <c r="FK106" s="369"/>
      <c r="FL106" s="369"/>
      <c r="FM106" s="369"/>
      <c r="FN106" s="369"/>
      <c r="FO106" s="369"/>
      <c r="FP106" s="369"/>
      <c r="FQ106" s="369"/>
      <c r="FR106" s="369"/>
      <c r="FS106" s="369"/>
      <c r="FT106" s="369"/>
      <c r="FU106" s="369"/>
      <c r="FV106" s="369"/>
      <c r="FW106" s="369"/>
      <c r="FX106" s="369"/>
      <c r="FY106" s="369"/>
      <c r="FZ106" s="369"/>
      <c r="GA106" s="369"/>
      <c r="GB106" s="369"/>
      <c r="GC106" s="369"/>
      <c r="GD106" s="369"/>
      <c r="GE106" s="369"/>
      <c r="GF106" s="369"/>
      <c r="GG106" s="369"/>
      <c r="GH106" s="369"/>
      <c r="GI106" s="369"/>
      <c r="GJ106" s="369"/>
      <c r="GK106" s="369"/>
      <c r="GL106" s="369"/>
      <c r="GM106" s="369"/>
      <c r="GN106" s="369"/>
      <c r="GO106" s="369"/>
      <c r="GP106" s="369"/>
      <c r="GQ106" s="369"/>
      <c r="GR106" s="369"/>
      <c r="GS106" s="369"/>
      <c r="GT106" s="369"/>
      <c r="GU106" s="369"/>
      <c r="GV106" s="369"/>
      <c r="GW106" s="369"/>
      <c r="GX106" s="369"/>
      <c r="GY106" s="369"/>
      <c r="GZ106" s="369"/>
      <c r="HA106" s="369"/>
      <c r="HB106" s="369"/>
      <c r="HC106" s="369"/>
      <c r="HD106" s="369"/>
      <c r="HE106" s="369"/>
      <c r="HF106" s="369"/>
      <c r="HG106" s="369"/>
      <c r="HH106" s="369"/>
      <c r="HI106" s="369"/>
      <c r="HJ106" s="369"/>
      <c r="HK106" s="369"/>
      <c r="HL106" s="369"/>
      <c r="HM106" s="369"/>
      <c r="HN106" s="369"/>
      <c r="HO106" s="369"/>
      <c r="HP106" s="369"/>
      <c r="HQ106" s="369"/>
      <c r="HR106" s="369"/>
      <c r="HS106" s="369"/>
      <c r="HT106" s="369"/>
      <c r="HU106" s="369"/>
      <c r="HV106" s="369"/>
      <c r="HW106" s="369"/>
      <c r="HX106" s="369"/>
      <c r="HY106" s="369"/>
      <c r="HZ106" s="369"/>
      <c r="IA106" s="369"/>
      <c r="IB106" s="369"/>
      <c r="IC106" s="369"/>
      <c r="ID106" s="369"/>
      <c r="IE106" s="369"/>
      <c r="IF106" s="369"/>
      <c r="IG106" s="369"/>
      <c r="IH106" s="369"/>
      <c r="II106" s="369"/>
      <c r="IJ106" s="369"/>
      <c r="IK106" s="369"/>
      <c r="IL106" s="369"/>
      <c r="IM106" s="369"/>
      <c r="IN106" s="369"/>
      <c r="IO106" s="369"/>
      <c r="IP106" s="369"/>
      <c r="IQ106" s="369"/>
      <c r="IR106" s="369"/>
      <c r="IS106" s="369"/>
      <c r="IT106" s="369"/>
      <c r="IU106" s="369"/>
      <c r="IV106" s="369"/>
      <c r="IW106" s="369"/>
    </row>
    <row r="107" customFormat="false" ht="12.75" hidden="false" customHeight="false" outlineLevel="0" collapsed="false">
      <c r="A107" s="138"/>
      <c r="B107" s="39" t="s">
        <v>377</v>
      </c>
      <c r="C107" s="155"/>
      <c r="D107" s="364"/>
      <c r="E107" s="229" t="n">
        <f aca="false">E$15*$A105</f>
        <v>0</v>
      </c>
      <c r="F107" s="229" t="n">
        <f aca="false">F$15*$A105</f>
        <v>0</v>
      </c>
      <c r="G107" s="229" t="n">
        <f aca="false">G$15*$A105</f>
        <v>0</v>
      </c>
      <c r="H107" s="229" t="n">
        <f aca="false">H$15*$A105</f>
        <v>0</v>
      </c>
      <c r="I107" s="229" t="n">
        <f aca="false">I$15*$A105</f>
        <v>0</v>
      </c>
      <c r="J107" s="229" t="n">
        <f aca="false">J$15*$A105</f>
        <v>0</v>
      </c>
      <c r="K107" s="229" t="n">
        <f aca="false">K$15*$A105</f>
        <v>0</v>
      </c>
      <c r="L107" s="229" t="n">
        <f aca="false">L$15*$A105</f>
        <v>0</v>
      </c>
      <c r="M107" s="229" t="n">
        <f aca="false">M$15*$A105</f>
        <v>0</v>
      </c>
      <c r="N107" s="229" t="n">
        <f aca="false">N$15*$A105</f>
        <v>0</v>
      </c>
      <c r="O107" s="229" t="n">
        <f aca="false">O$15*$A105</f>
        <v>0</v>
      </c>
      <c r="P107" s="229" t="n">
        <f aca="false">P$15*$A105</f>
        <v>0</v>
      </c>
      <c r="Q107" s="229" t="n">
        <f aca="false">Q$15*$A105</f>
        <v>0</v>
      </c>
      <c r="R107" s="229" t="n">
        <f aca="false">R$15*$A105</f>
        <v>0</v>
      </c>
      <c r="S107" s="229" t="n">
        <f aca="false">S$15*$A105</f>
        <v>0</v>
      </c>
      <c r="T107" s="229" t="n">
        <f aca="false">T$15*$A105</f>
        <v>0</v>
      </c>
      <c r="U107" s="229" t="n">
        <f aca="false">U$15*$A105</f>
        <v>0</v>
      </c>
      <c r="V107" s="229" t="n">
        <f aca="false">V$15*$A105</f>
        <v>0</v>
      </c>
      <c r="W107" s="229" t="n">
        <f aca="false">W$15*$A105</f>
        <v>0</v>
      </c>
      <c r="X107" s="229" t="n">
        <f aca="false">X$15*$A105</f>
        <v>0</v>
      </c>
      <c r="Y107" s="229" t="n">
        <f aca="false">Y$15*$A105</f>
        <v>0</v>
      </c>
      <c r="Z107" s="229" t="n">
        <f aca="false">Z$15*$A105</f>
        <v>24011.1418698974</v>
      </c>
      <c r="AA107" s="304" t="n">
        <f aca="false">SUM(D107:Z107)</f>
        <v>24011.1418698974</v>
      </c>
      <c r="AB107" s="304" t="n">
        <f aca="false">$E107+NPV(Disc,$F107:Z107)</f>
        <v>622.195154403187</v>
      </c>
    </row>
    <row r="108" customFormat="false" ht="12.75" hidden="false" customHeight="false" outlineLevel="0" collapsed="false">
      <c r="A108" s="138"/>
      <c r="B108" s="39" t="s">
        <v>413</v>
      </c>
      <c r="C108" s="39"/>
      <c r="D108" s="459"/>
      <c r="E108" s="61" t="n">
        <f aca="false">E$14*$A105</f>
        <v>0</v>
      </c>
      <c r="F108" s="61" t="n">
        <f aca="false">F$14*$A105</f>
        <v>0</v>
      </c>
      <c r="G108" s="61" t="n">
        <f aca="false">G$14*$A105</f>
        <v>0</v>
      </c>
      <c r="H108" s="61" t="n">
        <f aca="false">H$14*$A105</f>
        <v>52.1513348388995</v>
      </c>
      <c r="I108" s="61" t="n">
        <f aca="false">I$14*$A105</f>
        <v>-636.663103723807</v>
      </c>
      <c r="J108" s="61" t="n">
        <f aca="false">J$14*$A105</f>
        <v>-773.517422195416</v>
      </c>
      <c r="K108" s="61" t="n">
        <f aca="false">K$14*$A105</f>
        <v>-618.650075158662</v>
      </c>
      <c r="L108" s="61" t="n">
        <f aca="false">L$14*$A105</f>
        <v>-664.925361966689</v>
      </c>
      <c r="M108" s="61" t="n">
        <f aca="false">M$14*$A105</f>
        <v>-678.451449686767</v>
      </c>
      <c r="N108" s="61" t="n">
        <f aca="false">N$14*$A105</f>
        <v>-631.286030786711</v>
      </c>
      <c r="O108" s="61" t="n">
        <f aca="false">O$14*$A105</f>
        <v>-224.23816327303</v>
      </c>
      <c r="P108" s="61" t="n">
        <f aca="false">P$14*$A105</f>
        <v>112.73275868072</v>
      </c>
      <c r="Q108" s="61" t="n">
        <f aca="false">Q$14*$A105</f>
        <v>174.854987353885</v>
      </c>
      <c r="R108" s="61" t="n">
        <f aca="false">R$14*$A105</f>
        <v>129.79739605906</v>
      </c>
      <c r="S108" s="61" t="n">
        <f aca="false">S$14*$A105</f>
        <v>87.7139570280356</v>
      </c>
      <c r="T108" s="61" t="n">
        <f aca="false">T$14*$A105</f>
        <v>495.509663291287</v>
      </c>
      <c r="U108" s="61" t="n">
        <f aca="false">U$14*$A105</f>
        <v>647.624415073297</v>
      </c>
      <c r="V108" s="61" t="n">
        <f aca="false">V$14*$A105</f>
        <v>975.638307512663</v>
      </c>
      <c r="W108" s="61" t="n">
        <f aca="false">W$14*$A105</f>
        <v>1630.09511201526</v>
      </c>
      <c r="X108" s="61" t="n">
        <f aca="false">X$14*$A105</f>
        <v>1152.14071505337</v>
      </c>
      <c r="Y108" s="61" t="n">
        <f aca="false">Y$14*$A105</f>
        <v>790.075029023078</v>
      </c>
      <c r="Z108" s="61" t="n">
        <f aca="false">Z$14*$A105</f>
        <v>-2020.60206913847</v>
      </c>
      <c r="AA108" s="304" t="n">
        <f aca="false">SUM(D108:Z108)</f>
        <v>0</v>
      </c>
      <c r="AB108" s="304" t="n">
        <f aca="false">$E108+NPV(Disc,$F108:Z108)</f>
        <v>-1093.10489735987</v>
      </c>
      <c r="AD108" s="369"/>
      <c r="AE108" s="369"/>
      <c r="AF108" s="369"/>
      <c r="AG108" s="369"/>
      <c r="AH108" s="369"/>
      <c r="AI108" s="369"/>
      <c r="AJ108" s="369"/>
      <c r="AK108" s="369"/>
      <c r="AL108" s="369"/>
      <c r="AM108" s="369"/>
      <c r="AN108" s="369"/>
      <c r="AO108" s="369"/>
      <c r="AP108" s="369"/>
      <c r="AQ108" s="369"/>
      <c r="AR108" s="369"/>
      <c r="AS108" s="369"/>
      <c r="AT108" s="369"/>
      <c r="AU108" s="369"/>
      <c r="AV108" s="369"/>
      <c r="AW108" s="369"/>
      <c r="AX108" s="369"/>
      <c r="AY108" s="369"/>
      <c r="AZ108" s="369"/>
      <c r="BA108" s="369"/>
      <c r="BB108" s="369"/>
      <c r="BC108" s="369"/>
      <c r="BD108" s="369"/>
      <c r="BE108" s="369"/>
      <c r="BF108" s="369"/>
      <c r="BG108" s="369"/>
      <c r="BH108" s="369"/>
      <c r="BI108" s="369"/>
      <c r="BJ108" s="369"/>
      <c r="BK108" s="369"/>
      <c r="BL108" s="369"/>
      <c r="BM108" s="369"/>
      <c r="BN108" s="369"/>
      <c r="BO108" s="369"/>
      <c r="BP108" s="369"/>
      <c r="BQ108" s="369"/>
      <c r="BR108" s="369"/>
      <c r="BS108" s="369"/>
      <c r="BT108" s="369"/>
      <c r="BU108" s="369"/>
      <c r="BV108" s="369"/>
      <c r="BW108" s="369"/>
      <c r="BX108" s="369"/>
      <c r="BY108" s="369"/>
      <c r="BZ108" s="369"/>
      <c r="CA108" s="369"/>
      <c r="CB108" s="369"/>
      <c r="CC108" s="369"/>
      <c r="CD108" s="369"/>
      <c r="CE108" s="369"/>
      <c r="CF108" s="369"/>
      <c r="CG108" s="369"/>
      <c r="CH108" s="369"/>
      <c r="CI108" s="369"/>
      <c r="CJ108" s="369"/>
      <c r="CK108" s="369"/>
      <c r="CL108" s="369"/>
      <c r="CM108" s="369"/>
      <c r="CN108" s="369"/>
      <c r="CO108" s="369"/>
      <c r="CP108" s="369"/>
      <c r="CQ108" s="369"/>
      <c r="CR108" s="369"/>
      <c r="CS108" s="369"/>
      <c r="CT108" s="369"/>
      <c r="CU108" s="369"/>
      <c r="CV108" s="369"/>
      <c r="CW108" s="369"/>
      <c r="CX108" s="369"/>
      <c r="CY108" s="369"/>
      <c r="CZ108" s="369"/>
      <c r="DA108" s="369"/>
      <c r="DB108" s="369"/>
      <c r="DC108" s="369"/>
      <c r="DD108" s="369"/>
      <c r="DE108" s="369"/>
      <c r="DF108" s="369"/>
      <c r="DG108" s="369"/>
      <c r="DH108" s="369"/>
      <c r="DI108" s="369"/>
      <c r="DJ108" s="369"/>
      <c r="DK108" s="369"/>
      <c r="DL108" s="369"/>
      <c r="DM108" s="369"/>
      <c r="DN108" s="369"/>
      <c r="DO108" s="369"/>
      <c r="DP108" s="369"/>
      <c r="DQ108" s="369"/>
      <c r="DR108" s="369"/>
      <c r="DS108" s="369"/>
      <c r="DT108" s="369"/>
      <c r="DU108" s="369"/>
      <c r="DV108" s="369"/>
      <c r="DW108" s="369"/>
      <c r="DX108" s="369"/>
      <c r="DY108" s="369"/>
      <c r="DZ108" s="369"/>
      <c r="EA108" s="369"/>
      <c r="EB108" s="369"/>
      <c r="EC108" s="369"/>
      <c r="ED108" s="369"/>
      <c r="EE108" s="369"/>
      <c r="EF108" s="369"/>
      <c r="EG108" s="369"/>
      <c r="EH108" s="369"/>
      <c r="EI108" s="369"/>
      <c r="EJ108" s="369"/>
      <c r="EK108" s="369"/>
      <c r="EL108" s="369"/>
      <c r="EM108" s="369"/>
      <c r="EN108" s="369"/>
      <c r="EO108" s="369"/>
      <c r="EP108" s="369"/>
      <c r="EQ108" s="369"/>
      <c r="ER108" s="369"/>
      <c r="ES108" s="369"/>
      <c r="ET108" s="369"/>
      <c r="EU108" s="369"/>
      <c r="EV108" s="369"/>
      <c r="EW108" s="369"/>
      <c r="EX108" s="369"/>
      <c r="EY108" s="369"/>
      <c r="EZ108" s="369"/>
      <c r="FA108" s="369"/>
      <c r="FB108" s="369"/>
      <c r="FC108" s="369"/>
      <c r="FD108" s="369"/>
      <c r="FE108" s="369"/>
      <c r="FF108" s="369"/>
      <c r="FG108" s="369"/>
      <c r="FH108" s="369"/>
      <c r="FI108" s="369"/>
      <c r="FJ108" s="369"/>
      <c r="FK108" s="369"/>
      <c r="FL108" s="369"/>
      <c r="FM108" s="369"/>
      <c r="FN108" s="369"/>
      <c r="FO108" s="369"/>
      <c r="FP108" s="369"/>
      <c r="FQ108" s="369"/>
      <c r="FR108" s="369"/>
      <c r="FS108" s="369"/>
      <c r="FT108" s="369"/>
      <c r="FU108" s="369"/>
      <c r="FV108" s="369"/>
      <c r="FW108" s="369"/>
      <c r="FX108" s="369"/>
      <c r="FY108" s="369"/>
      <c r="FZ108" s="369"/>
      <c r="GA108" s="369"/>
      <c r="GB108" s="369"/>
      <c r="GC108" s="369"/>
      <c r="GD108" s="369"/>
      <c r="GE108" s="369"/>
      <c r="GF108" s="369"/>
      <c r="GG108" s="369"/>
      <c r="GH108" s="369"/>
      <c r="GI108" s="369"/>
      <c r="GJ108" s="369"/>
      <c r="GK108" s="369"/>
      <c r="GL108" s="369"/>
      <c r="GM108" s="369"/>
      <c r="GN108" s="369"/>
      <c r="GO108" s="369"/>
      <c r="GP108" s="369"/>
      <c r="GQ108" s="369"/>
      <c r="GR108" s="369"/>
      <c r="GS108" s="369"/>
      <c r="GT108" s="369"/>
      <c r="GU108" s="369"/>
      <c r="GV108" s="369"/>
      <c r="GW108" s="369"/>
      <c r="GX108" s="369"/>
      <c r="GY108" s="369"/>
      <c r="GZ108" s="369"/>
      <c r="HA108" s="369"/>
      <c r="HB108" s="369"/>
      <c r="HC108" s="369"/>
      <c r="HD108" s="369"/>
      <c r="HE108" s="369"/>
      <c r="HF108" s="369"/>
      <c r="HG108" s="369"/>
      <c r="HH108" s="369"/>
      <c r="HI108" s="369"/>
      <c r="HJ108" s="369"/>
      <c r="HK108" s="369"/>
      <c r="HL108" s="369"/>
      <c r="HM108" s="369"/>
      <c r="HN108" s="369"/>
      <c r="HO108" s="369"/>
      <c r="HP108" s="369"/>
      <c r="HQ108" s="369"/>
      <c r="HR108" s="369"/>
      <c r="HS108" s="369"/>
      <c r="HT108" s="369"/>
      <c r="HU108" s="369"/>
      <c r="HV108" s="369"/>
      <c r="HW108" s="369"/>
      <c r="HX108" s="369"/>
      <c r="HY108" s="369"/>
      <c r="HZ108" s="369"/>
      <c r="IA108" s="369"/>
      <c r="IB108" s="369"/>
      <c r="IC108" s="369"/>
      <c r="ID108" s="369"/>
      <c r="IE108" s="369"/>
      <c r="IF108" s="369"/>
      <c r="IG108" s="369"/>
      <c r="IH108" s="369"/>
      <c r="II108" s="369"/>
      <c r="IJ108" s="369"/>
      <c r="IK108" s="369"/>
      <c r="IL108" s="369"/>
      <c r="IM108" s="369"/>
      <c r="IN108" s="369"/>
      <c r="IO108" s="369"/>
      <c r="IP108" s="369"/>
      <c r="IQ108" s="369"/>
      <c r="IR108" s="369"/>
      <c r="IS108" s="369"/>
      <c r="IT108" s="369"/>
      <c r="IU108" s="369"/>
      <c r="IV108" s="369"/>
      <c r="IW108" s="369"/>
    </row>
    <row r="109" customFormat="false" ht="12.75" hidden="false" customHeight="false" outlineLevel="0" collapsed="false">
      <c r="A109" s="138"/>
      <c r="B109" s="39" t="s">
        <v>416</v>
      </c>
      <c r="C109" s="311" t="s">
        <v>235</v>
      </c>
      <c r="D109" s="459"/>
      <c r="E109" s="229" t="n">
        <f aca="false">IF(E$7&lt;YEAR(Startops1),0,-Trapped!D$40*$A105)</f>
        <v>0</v>
      </c>
      <c r="F109" s="229" t="n">
        <f aca="false">IF(F$7&lt;YEAR(Startops1),0,-Trapped!E$40*$A105)</f>
        <v>0</v>
      </c>
      <c r="G109" s="229" t="n">
        <f aca="false">IF(G$7&lt;YEAR(Startops1),0,-Trapped!F$40*$A105)</f>
        <v>0</v>
      </c>
      <c r="H109" s="229" t="n">
        <f aca="false">IF(H$7&lt;YEAR(Startops1),0,-Trapped!G$40*$A105)</f>
        <v>-0</v>
      </c>
      <c r="I109" s="229" t="n">
        <f aca="false">IF(I$7&lt;YEAR(Startops1),0,-Trapped!H$40*$A105)</f>
        <v>-0</v>
      </c>
      <c r="J109" s="229" t="n">
        <f aca="false">IF(J$7&lt;YEAR(Startops1),0,-Trapped!I$40*$A105)</f>
        <v>-3.12908009033397</v>
      </c>
      <c r="K109" s="229" t="n">
        <f aca="false">IF(K$7&lt;YEAR(Startops1),0,-Trapped!J$40*$A105)</f>
        <v>-3.12908009033397</v>
      </c>
      <c r="L109" s="229" t="n">
        <f aca="false">IF(L$7&lt;YEAR(Startops1),0,-Trapped!K$40*$A105)</f>
        <v>35.0707061330945</v>
      </c>
      <c r="M109" s="229" t="n">
        <f aca="false">IF(M$7&lt;YEAR(Startops1),0,-Trapped!L$40*$A105)</f>
        <v>81.4817514648194</v>
      </c>
      <c r="N109" s="229" t="n">
        <f aca="false">IF(N$7&lt;YEAR(Startops1),0,-Trapped!M$40*$A105)</f>
        <v>118.600755974339</v>
      </c>
      <c r="O109" s="229" t="n">
        <f aca="false">IF(O$7&lt;YEAR(Startops1),0,-Trapped!N$40*$A105)</f>
        <v>158.496277692341</v>
      </c>
      <c r="P109" s="229" t="n">
        <f aca="false">IF(P$7&lt;YEAR(Startops1),0,-Trapped!O$40*$A105)</f>
        <v>199.203364673547</v>
      </c>
      <c r="Q109" s="229" t="n">
        <f aca="false">IF(Q$7&lt;YEAR(Startops1),0,-Trapped!P$40*$A105)</f>
        <v>237.080526520749</v>
      </c>
      <c r="R109" s="229" t="n">
        <f aca="false">IF(R$7&lt;YEAR(Startops1),0,-Trapped!Q$40*$A105)</f>
        <v>243.770850796288</v>
      </c>
      <c r="S109" s="229" t="n">
        <f aca="false">IF(S$7&lt;YEAR(Startops1),0,-Trapped!R$40*$A105)</f>
        <v>233.279551555055</v>
      </c>
      <c r="T109" s="229" t="n">
        <f aca="false">IF(T$7&lt;YEAR(Startops1),0,-Trapped!S$40*$A105)</f>
        <v>225.491707791511</v>
      </c>
      <c r="U109" s="229" t="n">
        <f aca="false">IF(U$7&lt;YEAR(Startops1),0,-Trapped!T$40*$A105)</f>
        <v>220.228870369829</v>
      </c>
      <c r="V109" s="229" t="n">
        <f aca="false">IF(V$7&lt;YEAR(Startops1),0,-Trapped!U$40*$A105)</f>
        <v>190.498290572352</v>
      </c>
      <c r="W109" s="229" t="n">
        <f aca="false">IF(W$7&lt;YEAR(Startops1),0,-Trapped!V$40*$A105)</f>
        <v>151.640825667954</v>
      </c>
      <c r="X109" s="229" t="n">
        <f aca="false">IF(X$7&lt;YEAR(Startops1),0,-Trapped!W$40*$A105)</f>
        <v>93.1025272171941</v>
      </c>
      <c r="Y109" s="229" t="n">
        <f aca="false">IF(Y$7&lt;YEAR(Startops1),0,-Trapped!X$40*$A105)</f>
        <v>-4.70317950372159</v>
      </c>
      <c r="Z109" s="229" t="n">
        <f aca="false">IF(Z$7&lt;YEAR(Startops1),0,-Trapped!Y$40*$A105)</f>
        <v>-73.8316224069235</v>
      </c>
      <c r="AA109" s="304" t="n">
        <f aca="false">SUM(D109:Z109)</f>
        <v>2103.15304433776</v>
      </c>
      <c r="AB109" s="304" t="n">
        <f aca="false">$E109+NPV(Disc,$F109:Z109)</f>
        <v>233.557598247153</v>
      </c>
      <c r="AD109" s="369"/>
      <c r="AE109" s="369"/>
      <c r="AF109" s="369"/>
      <c r="AG109" s="369"/>
      <c r="AH109" s="369"/>
      <c r="AI109" s="369"/>
      <c r="AJ109" s="369"/>
      <c r="AK109" s="369"/>
      <c r="AL109" s="369"/>
      <c r="AM109" s="369"/>
      <c r="AN109" s="369"/>
      <c r="AO109" s="369"/>
      <c r="AP109" s="369"/>
      <c r="AQ109" s="369"/>
      <c r="AR109" s="369"/>
      <c r="AS109" s="369"/>
      <c r="AT109" s="369"/>
      <c r="AU109" s="369"/>
      <c r="AV109" s="369"/>
      <c r="AW109" s="369"/>
      <c r="AX109" s="369"/>
      <c r="AY109" s="369"/>
      <c r="AZ109" s="369"/>
      <c r="BA109" s="369"/>
      <c r="BB109" s="369"/>
      <c r="BC109" s="369"/>
      <c r="BD109" s="369"/>
      <c r="BE109" s="369"/>
      <c r="BF109" s="369"/>
      <c r="BG109" s="369"/>
      <c r="BH109" s="369"/>
      <c r="BI109" s="369"/>
      <c r="BJ109" s="369"/>
      <c r="BK109" s="369"/>
      <c r="BL109" s="369"/>
      <c r="BM109" s="369"/>
      <c r="BN109" s="369"/>
      <c r="BO109" s="369"/>
      <c r="BP109" s="369"/>
      <c r="BQ109" s="369"/>
      <c r="BR109" s="369"/>
      <c r="BS109" s="369"/>
      <c r="BT109" s="369"/>
      <c r="BU109" s="369"/>
      <c r="BV109" s="369"/>
      <c r="BW109" s="369"/>
      <c r="BX109" s="369"/>
      <c r="BY109" s="369"/>
      <c r="BZ109" s="369"/>
      <c r="CA109" s="369"/>
      <c r="CB109" s="369"/>
      <c r="CC109" s="369"/>
      <c r="CD109" s="369"/>
      <c r="CE109" s="369"/>
      <c r="CF109" s="369"/>
      <c r="CG109" s="369"/>
      <c r="CH109" s="369"/>
      <c r="CI109" s="369"/>
      <c r="CJ109" s="369"/>
      <c r="CK109" s="369"/>
      <c r="CL109" s="369"/>
      <c r="CM109" s="369"/>
      <c r="CN109" s="369"/>
      <c r="CO109" s="369"/>
      <c r="CP109" s="369"/>
      <c r="CQ109" s="369"/>
      <c r="CR109" s="369"/>
      <c r="CS109" s="369"/>
      <c r="CT109" s="369"/>
      <c r="CU109" s="369"/>
      <c r="CV109" s="369"/>
      <c r="CW109" s="369"/>
      <c r="CX109" s="369"/>
      <c r="CY109" s="369"/>
      <c r="CZ109" s="369"/>
      <c r="DA109" s="369"/>
      <c r="DB109" s="369"/>
      <c r="DC109" s="369"/>
      <c r="DD109" s="369"/>
      <c r="DE109" s="369"/>
      <c r="DF109" s="369"/>
      <c r="DG109" s="369"/>
      <c r="DH109" s="369"/>
      <c r="DI109" s="369"/>
      <c r="DJ109" s="369"/>
      <c r="DK109" s="369"/>
      <c r="DL109" s="369"/>
      <c r="DM109" s="369"/>
      <c r="DN109" s="369"/>
      <c r="DO109" s="369"/>
      <c r="DP109" s="369"/>
      <c r="DQ109" s="369"/>
      <c r="DR109" s="369"/>
      <c r="DS109" s="369"/>
      <c r="DT109" s="369"/>
      <c r="DU109" s="369"/>
      <c r="DV109" s="369"/>
      <c r="DW109" s="369"/>
      <c r="DX109" s="369"/>
      <c r="DY109" s="369"/>
      <c r="DZ109" s="369"/>
      <c r="EA109" s="369"/>
      <c r="EB109" s="369"/>
      <c r="EC109" s="369"/>
      <c r="ED109" s="369"/>
      <c r="EE109" s="369"/>
      <c r="EF109" s="369"/>
      <c r="EG109" s="369"/>
      <c r="EH109" s="369"/>
      <c r="EI109" s="369"/>
      <c r="EJ109" s="369"/>
      <c r="EK109" s="369"/>
      <c r="EL109" s="369"/>
      <c r="EM109" s="369"/>
      <c r="EN109" s="369"/>
      <c r="EO109" s="369"/>
      <c r="EP109" s="369"/>
      <c r="EQ109" s="369"/>
      <c r="ER109" s="369"/>
      <c r="ES109" s="369"/>
      <c r="ET109" s="369"/>
      <c r="EU109" s="369"/>
      <c r="EV109" s="369"/>
      <c r="EW109" s="369"/>
      <c r="EX109" s="369"/>
      <c r="EY109" s="369"/>
      <c r="EZ109" s="369"/>
      <c r="FA109" s="369"/>
      <c r="FB109" s="369"/>
      <c r="FC109" s="369"/>
      <c r="FD109" s="369"/>
      <c r="FE109" s="369"/>
      <c r="FF109" s="369"/>
      <c r="FG109" s="369"/>
      <c r="FH109" s="369"/>
      <c r="FI109" s="369"/>
      <c r="FJ109" s="369"/>
      <c r="FK109" s="369"/>
      <c r="FL109" s="369"/>
      <c r="FM109" s="369"/>
      <c r="FN109" s="369"/>
      <c r="FO109" s="369"/>
      <c r="FP109" s="369"/>
      <c r="FQ109" s="369"/>
      <c r="FR109" s="369"/>
      <c r="FS109" s="369"/>
      <c r="FT109" s="369"/>
      <c r="FU109" s="369"/>
      <c r="FV109" s="369"/>
      <c r="FW109" s="369"/>
      <c r="FX109" s="369"/>
      <c r="FY109" s="369"/>
      <c r="FZ109" s="369"/>
      <c r="GA109" s="369"/>
      <c r="GB109" s="369"/>
      <c r="GC109" s="369"/>
      <c r="GD109" s="369"/>
      <c r="GE109" s="369"/>
      <c r="GF109" s="369"/>
      <c r="GG109" s="369"/>
      <c r="GH109" s="369"/>
      <c r="GI109" s="369"/>
      <c r="GJ109" s="369"/>
      <c r="GK109" s="369"/>
      <c r="GL109" s="369"/>
      <c r="GM109" s="369"/>
      <c r="GN109" s="369"/>
      <c r="GO109" s="369"/>
      <c r="GP109" s="369"/>
      <c r="GQ109" s="369"/>
      <c r="GR109" s="369"/>
      <c r="GS109" s="369"/>
      <c r="GT109" s="369"/>
      <c r="GU109" s="369"/>
      <c r="GV109" s="369"/>
      <c r="GW109" s="369"/>
      <c r="GX109" s="369"/>
      <c r="GY109" s="369"/>
      <c r="GZ109" s="369"/>
      <c r="HA109" s="369"/>
      <c r="HB109" s="369"/>
      <c r="HC109" s="369"/>
      <c r="HD109" s="369"/>
      <c r="HE109" s="369"/>
      <c r="HF109" s="369"/>
      <c r="HG109" s="369"/>
      <c r="HH109" s="369"/>
      <c r="HI109" s="369"/>
      <c r="HJ109" s="369"/>
      <c r="HK109" s="369"/>
      <c r="HL109" s="369"/>
      <c r="HM109" s="369"/>
      <c r="HN109" s="369"/>
      <c r="HO109" s="369"/>
      <c r="HP109" s="369"/>
      <c r="HQ109" s="369"/>
      <c r="HR109" s="369"/>
      <c r="HS109" s="369"/>
      <c r="HT109" s="369"/>
      <c r="HU109" s="369"/>
      <c r="HV109" s="369"/>
      <c r="HW109" s="369"/>
      <c r="HX109" s="369"/>
      <c r="HY109" s="369"/>
      <c r="HZ109" s="369"/>
      <c r="IA109" s="369"/>
      <c r="IB109" s="369"/>
      <c r="IC109" s="369"/>
      <c r="ID109" s="369"/>
      <c r="IE109" s="369"/>
      <c r="IF109" s="369"/>
      <c r="IG109" s="369"/>
      <c r="IH109" s="369"/>
      <c r="II109" s="369"/>
      <c r="IJ109" s="369"/>
      <c r="IK109" s="369"/>
      <c r="IL109" s="369"/>
      <c r="IM109" s="369"/>
      <c r="IN109" s="369"/>
      <c r="IO109" s="369"/>
      <c r="IP109" s="369"/>
      <c r="IQ109" s="369"/>
      <c r="IR109" s="369"/>
      <c r="IS109" s="369"/>
      <c r="IT109" s="369"/>
      <c r="IU109" s="369"/>
      <c r="IV109" s="369"/>
      <c r="IW109" s="369"/>
    </row>
    <row r="110" customFormat="false" ht="12.75" hidden="false" customHeight="false" outlineLevel="0" collapsed="false">
      <c r="A110" s="138"/>
      <c r="B110" s="39" t="s">
        <v>387</v>
      </c>
      <c r="C110" s="39"/>
      <c r="D110" s="459"/>
      <c r="E110" s="61" t="n">
        <f aca="false">E$12*$A105</f>
        <v>0</v>
      </c>
      <c r="F110" s="61" t="n">
        <f aca="false">F$12*$A105</f>
        <v>0</v>
      </c>
      <c r="G110" s="61" t="n">
        <f aca="false">G$12*$A105</f>
        <v>0</v>
      </c>
      <c r="H110" s="61" t="n">
        <f aca="false">H$12*$A105</f>
        <v>0</v>
      </c>
      <c r="I110" s="61" t="n">
        <f aca="false">I$12*$A105</f>
        <v>0</v>
      </c>
      <c r="J110" s="61" t="n">
        <f aca="false">J$12*$A105</f>
        <v>0</v>
      </c>
      <c r="K110" s="61" t="n">
        <f aca="false">K$12*$A105</f>
        <v>0</v>
      </c>
      <c r="L110" s="61" t="n">
        <f aca="false">L$12*$A105</f>
        <v>0</v>
      </c>
      <c r="M110" s="61" t="n">
        <f aca="false">M$12*$A105</f>
        <v>0</v>
      </c>
      <c r="N110" s="61" t="n">
        <f aca="false">N$12*$A105</f>
        <v>0</v>
      </c>
      <c r="O110" s="61" t="n">
        <f aca="false">O$12*$A105</f>
        <v>-75.278123512847</v>
      </c>
      <c r="P110" s="61" t="n">
        <f aca="false">P$12*$A105</f>
        <v>-72.3076009713504</v>
      </c>
      <c r="Q110" s="61" t="n">
        <f aca="false">Q$12*$A105</f>
        <v>-58.0118215500295</v>
      </c>
      <c r="R110" s="61" t="n">
        <f aca="false">R$12*$A105</f>
        <v>-32.5244707454813</v>
      </c>
      <c r="S110" s="61" t="n">
        <f aca="false">S$12*$A105</f>
        <v>4.1841213252852</v>
      </c>
      <c r="T110" s="61" t="n">
        <f aca="false">T$12*$A105</f>
        <v>55.330835323293</v>
      </c>
      <c r="U110" s="61" t="n">
        <f aca="false">U$12*$A105</f>
        <v>103.521171117737</v>
      </c>
      <c r="V110" s="61" t="n">
        <f aca="false">V$12*$A105</f>
        <v>171.330015020891</v>
      </c>
      <c r="W110" s="61" t="n">
        <f aca="false">W$12*$A105</f>
        <v>249.477964340433</v>
      </c>
      <c r="X110" s="61" t="n">
        <f aca="false">X$12*$A105</f>
        <v>333.306430363535</v>
      </c>
      <c r="Y110" s="61" t="n">
        <f aca="false">Y$12*$A105</f>
        <v>364.131410340396</v>
      </c>
      <c r="Z110" s="61" t="n">
        <f aca="false">Z$12*$A105</f>
        <v>121.377136780132</v>
      </c>
      <c r="AA110" s="304" t="n">
        <f aca="false">SUM(D110:Z110)</f>
        <v>1164.53706783199</v>
      </c>
      <c r="AB110" s="304" t="n">
        <f aca="false">$E110+NPV(Disc,$F110:Z110)</f>
        <v>22.7687019643536</v>
      </c>
      <c r="AD110" s="369"/>
      <c r="AE110" s="369"/>
      <c r="AF110" s="369"/>
      <c r="AG110" s="369"/>
      <c r="AH110" s="369"/>
      <c r="AI110" s="369"/>
      <c r="AJ110" s="369"/>
      <c r="AK110" s="369"/>
      <c r="AL110" s="369"/>
      <c r="AM110" s="369"/>
      <c r="AN110" s="369"/>
      <c r="AO110" s="369"/>
      <c r="AP110" s="369"/>
      <c r="AQ110" s="369"/>
      <c r="AR110" s="369"/>
      <c r="AS110" s="369"/>
      <c r="AT110" s="369"/>
      <c r="AU110" s="369"/>
      <c r="AV110" s="369"/>
      <c r="AW110" s="369"/>
      <c r="AX110" s="369"/>
      <c r="AY110" s="369"/>
      <c r="AZ110" s="369"/>
      <c r="BA110" s="369"/>
      <c r="BB110" s="369"/>
      <c r="BC110" s="369"/>
      <c r="BD110" s="369"/>
      <c r="BE110" s="369"/>
      <c r="BF110" s="369"/>
      <c r="BG110" s="369"/>
      <c r="BH110" s="369"/>
      <c r="BI110" s="369"/>
      <c r="BJ110" s="369"/>
      <c r="BK110" s="369"/>
      <c r="BL110" s="369"/>
      <c r="BM110" s="369"/>
      <c r="BN110" s="369"/>
      <c r="BO110" s="369"/>
      <c r="BP110" s="369"/>
      <c r="BQ110" s="369"/>
      <c r="BR110" s="369"/>
      <c r="BS110" s="369"/>
      <c r="BT110" s="369"/>
      <c r="BU110" s="369"/>
      <c r="BV110" s="369"/>
      <c r="BW110" s="369"/>
      <c r="BX110" s="369"/>
      <c r="BY110" s="369"/>
      <c r="BZ110" s="369"/>
      <c r="CA110" s="369"/>
      <c r="CB110" s="369"/>
      <c r="CC110" s="369"/>
      <c r="CD110" s="369"/>
      <c r="CE110" s="369"/>
      <c r="CF110" s="369"/>
      <c r="CG110" s="369"/>
      <c r="CH110" s="369"/>
      <c r="CI110" s="369"/>
      <c r="CJ110" s="369"/>
      <c r="CK110" s="369"/>
      <c r="CL110" s="369"/>
      <c r="CM110" s="369"/>
      <c r="CN110" s="369"/>
      <c r="CO110" s="369"/>
      <c r="CP110" s="369"/>
      <c r="CQ110" s="369"/>
      <c r="CR110" s="369"/>
      <c r="CS110" s="369"/>
      <c r="CT110" s="369"/>
      <c r="CU110" s="369"/>
      <c r="CV110" s="369"/>
      <c r="CW110" s="369"/>
      <c r="CX110" s="369"/>
      <c r="CY110" s="369"/>
      <c r="CZ110" s="369"/>
      <c r="DA110" s="369"/>
      <c r="DB110" s="369"/>
      <c r="DC110" s="369"/>
      <c r="DD110" s="369"/>
      <c r="DE110" s="369"/>
      <c r="DF110" s="369"/>
      <c r="DG110" s="369"/>
      <c r="DH110" s="369"/>
      <c r="DI110" s="369"/>
      <c r="DJ110" s="369"/>
      <c r="DK110" s="369"/>
      <c r="DL110" s="369"/>
      <c r="DM110" s="369"/>
      <c r="DN110" s="369"/>
      <c r="DO110" s="369"/>
      <c r="DP110" s="369"/>
      <c r="DQ110" s="369"/>
      <c r="DR110" s="369"/>
      <c r="DS110" s="369"/>
      <c r="DT110" s="369"/>
      <c r="DU110" s="369"/>
      <c r="DV110" s="369"/>
      <c r="DW110" s="369"/>
      <c r="DX110" s="369"/>
      <c r="DY110" s="369"/>
      <c r="DZ110" s="369"/>
      <c r="EA110" s="369"/>
      <c r="EB110" s="369"/>
      <c r="EC110" s="369"/>
      <c r="ED110" s="369"/>
      <c r="EE110" s="369"/>
      <c r="EF110" s="369"/>
      <c r="EG110" s="369"/>
      <c r="EH110" s="369"/>
      <c r="EI110" s="369"/>
      <c r="EJ110" s="369"/>
      <c r="EK110" s="369"/>
      <c r="EL110" s="369"/>
      <c r="EM110" s="369"/>
      <c r="EN110" s="369"/>
      <c r="EO110" s="369"/>
      <c r="EP110" s="369"/>
      <c r="EQ110" s="369"/>
      <c r="ER110" s="369"/>
      <c r="ES110" s="369"/>
      <c r="ET110" s="369"/>
      <c r="EU110" s="369"/>
      <c r="EV110" s="369"/>
      <c r="EW110" s="369"/>
      <c r="EX110" s="369"/>
      <c r="EY110" s="369"/>
      <c r="EZ110" s="369"/>
      <c r="FA110" s="369"/>
      <c r="FB110" s="369"/>
      <c r="FC110" s="369"/>
      <c r="FD110" s="369"/>
      <c r="FE110" s="369"/>
      <c r="FF110" s="369"/>
      <c r="FG110" s="369"/>
      <c r="FH110" s="369"/>
      <c r="FI110" s="369"/>
      <c r="FJ110" s="369"/>
      <c r="FK110" s="369"/>
      <c r="FL110" s="369"/>
      <c r="FM110" s="369"/>
      <c r="FN110" s="369"/>
      <c r="FO110" s="369"/>
      <c r="FP110" s="369"/>
      <c r="FQ110" s="369"/>
      <c r="FR110" s="369"/>
      <c r="FS110" s="369"/>
      <c r="FT110" s="369"/>
      <c r="FU110" s="369"/>
      <c r="FV110" s="369"/>
      <c r="FW110" s="369"/>
      <c r="FX110" s="369"/>
      <c r="FY110" s="369"/>
      <c r="FZ110" s="369"/>
      <c r="GA110" s="369"/>
      <c r="GB110" s="369"/>
      <c r="GC110" s="369"/>
      <c r="GD110" s="369"/>
      <c r="GE110" s="369"/>
      <c r="GF110" s="369"/>
      <c r="GG110" s="369"/>
      <c r="GH110" s="369"/>
      <c r="GI110" s="369"/>
      <c r="GJ110" s="369"/>
      <c r="GK110" s="369"/>
      <c r="GL110" s="369"/>
      <c r="GM110" s="369"/>
      <c r="GN110" s="369"/>
      <c r="GO110" s="369"/>
      <c r="GP110" s="369"/>
      <c r="GQ110" s="369"/>
      <c r="GR110" s="369"/>
      <c r="GS110" s="369"/>
      <c r="GT110" s="369"/>
      <c r="GU110" s="369"/>
      <c r="GV110" s="369"/>
      <c r="GW110" s="369"/>
      <c r="GX110" s="369"/>
      <c r="GY110" s="369"/>
      <c r="GZ110" s="369"/>
      <c r="HA110" s="369"/>
      <c r="HB110" s="369"/>
      <c r="HC110" s="369"/>
      <c r="HD110" s="369"/>
      <c r="HE110" s="369"/>
      <c r="HF110" s="369"/>
      <c r="HG110" s="369"/>
      <c r="HH110" s="369"/>
      <c r="HI110" s="369"/>
      <c r="HJ110" s="369"/>
      <c r="HK110" s="369"/>
      <c r="HL110" s="369"/>
      <c r="HM110" s="369"/>
      <c r="HN110" s="369"/>
      <c r="HO110" s="369"/>
      <c r="HP110" s="369"/>
      <c r="HQ110" s="369"/>
      <c r="HR110" s="369"/>
      <c r="HS110" s="369"/>
      <c r="HT110" s="369"/>
      <c r="HU110" s="369"/>
      <c r="HV110" s="369"/>
      <c r="HW110" s="369"/>
      <c r="HX110" s="369"/>
      <c r="HY110" s="369"/>
      <c r="HZ110" s="369"/>
      <c r="IA110" s="369"/>
      <c r="IB110" s="369"/>
      <c r="IC110" s="369"/>
      <c r="ID110" s="369"/>
      <c r="IE110" s="369"/>
      <c r="IF110" s="369"/>
      <c r="IG110" s="369"/>
      <c r="IH110" s="369"/>
      <c r="II110" s="369"/>
      <c r="IJ110" s="369"/>
      <c r="IK110" s="369"/>
      <c r="IL110" s="369"/>
      <c r="IM110" s="369"/>
      <c r="IN110" s="369"/>
      <c r="IO110" s="369"/>
      <c r="IP110" s="369"/>
      <c r="IQ110" s="369"/>
      <c r="IR110" s="369"/>
      <c r="IS110" s="369"/>
      <c r="IT110" s="369"/>
      <c r="IU110" s="369"/>
      <c r="IV110" s="369"/>
      <c r="IW110" s="369"/>
    </row>
    <row r="111" customFormat="false" ht="12.75" hidden="false" customHeight="false" outlineLevel="0" collapsed="false">
      <c r="A111" s="138"/>
      <c r="B111" s="39" t="s">
        <v>375</v>
      </c>
      <c r="C111" s="366" t="n">
        <f aca="false">Wh_Int</f>
        <v>0.15</v>
      </c>
      <c r="D111" s="459"/>
      <c r="E111" s="61" t="n">
        <f aca="false">E13*$A$105</f>
        <v>-0</v>
      </c>
      <c r="F111" s="61" t="n">
        <f aca="false">F13*$A$105</f>
        <v>-0</v>
      </c>
      <c r="G111" s="61" t="n">
        <f aca="false">G13*$A$105</f>
        <v>-0</v>
      </c>
      <c r="H111" s="61" t="n">
        <f aca="false">H13*$A$105</f>
        <v>-0</v>
      </c>
      <c r="I111" s="61" t="n">
        <f aca="false">I13*$A$105</f>
        <v>-0</v>
      </c>
      <c r="J111" s="61" t="n">
        <f aca="false">J13*$A$105</f>
        <v>-0</v>
      </c>
      <c r="K111" s="61" t="n">
        <f aca="false">K13*$A$105</f>
        <v>-0</v>
      </c>
      <c r="L111" s="61" t="n">
        <f aca="false">L13*$A$105</f>
        <v>-0</v>
      </c>
      <c r="M111" s="61" t="n">
        <f aca="false">M13*$A$105</f>
        <v>-0</v>
      </c>
      <c r="N111" s="61" t="n">
        <f aca="false">N13*$A$105</f>
        <v>-0</v>
      </c>
      <c r="O111" s="61" t="n">
        <f aca="false">O13*$A$105</f>
        <v>11.2917185269271</v>
      </c>
      <c r="P111" s="61" t="n">
        <f aca="false">P13*$A$105</f>
        <v>10.8461401457026</v>
      </c>
      <c r="Q111" s="61" t="n">
        <f aca="false">Q13*$A$105</f>
        <v>8.70177323250443</v>
      </c>
      <c r="R111" s="61" t="n">
        <f aca="false">R13*$A$105</f>
        <v>4.8786706118222</v>
      </c>
      <c r="S111" s="61" t="n">
        <f aca="false">S13*$A$105</f>
        <v>-0.62761819879278</v>
      </c>
      <c r="T111" s="61" t="n">
        <f aca="false">T13*$A$105</f>
        <v>-8.29962529849395</v>
      </c>
      <c r="U111" s="61" t="n">
        <f aca="false">U13*$A$105</f>
        <v>-15.5281756676605</v>
      </c>
      <c r="V111" s="61" t="n">
        <f aca="false">V13*$A$105</f>
        <v>-25.6995022531336</v>
      </c>
      <c r="W111" s="61" t="n">
        <f aca="false">W13*$A$105</f>
        <v>-37.421694651065</v>
      </c>
      <c r="X111" s="61" t="n">
        <f aca="false">X13*$A$105</f>
        <v>-49.9959645545302</v>
      </c>
      <c r="Y111" s="61" t="n">
        <f aca="false">Y13*$A$105</f>
        <v>-54.6197115510595</v>
      </c>
      <c r="Z111" s="61" t="n">
        <f aca="false">Z13*$A$105</f>
        <v>-18.2065705170198</v>
      </c>
      <c r="AA111" s="304" t="n">
        <f aca="false">SUM(D111:Z111)</f>
        <v>-174.680560174799</v>
      </c>
      <c r="AB111" s="304" t="n">
        <f aca="false">$E111+NPV(Disc,$F111:Z111)</f>
        <v>-3.41530529465304</v>
      </c>
      <c r="AD111" s="369"/>
      <c r="AE111" s="369"/>
      <c r="AF111" s="369"/>
      <c r="AG111" s="369"/>
      <c r="AH111" s="369"/>
      <c r="AI111" s="369"/>
      <c r="AJ111" s="369"/>
      <c r="AK111" s="369"/>
      <c r="AL111" s="369"/>
      <c r="AM111" s="369"/>
      <c r="AN111" s="369"/>
      <c r="AO111" s="369"/>
      <c r="AP111" s="369"/>
      <c r="AQ111" s="369"/>
      <c r="AR111" s="369"/>
      <c r="AS111" s="369"/>
      <c r="AT111" s="369"/>
      <c r="AU111" s="369"/>
      <c r="AV111" s="369"/>
      <c r="AW111" s="369"/>
      <c r="AX111" s="369"/>
      <c r="AY111" s="369"/>
      <c r="AZ111" s="369"/>
      <c r="BA111" s="369"/>
      <c r="BB111" s="369"/>
      <c r="BC111" s="369"/>
      <c r="BD111" s="369"/>
      <c r="BE111" s="369"/>
      <c r="BF111" s="369"/>
      <c r="BG111" s="369"/>
      <c r="BH111" s="369"/>
      <c r="BI111" s="369"/>
      <c r="BJ111" s="369"/>
      <c r="BK111" s="369"/>
      <c r="BL111" s="369"/>
      <c r="BM111" s="369"/>
      <c r="BN111" s="369"/>
      <c r="BO111" s="369"/>
      <c r="BP111" s="369"/>
      <c r="BQ111" s="369"/>
      <c r="BR111" s="369"/>
      <c r="BS111" s="369"/>
      <c r="BT111" s="369"/>
      <c r="BU111" s="369"/>
      <c r="BV111" s="369"/>
      <c r="BW111" s="369"/>
      <c r="BX111" s="369"/>
      <c r="BY111" s="369"/>
      <c r="BZ111" s="369"/>
      <c r="CA111" s="369"/>
      <c r="CB111" s="369"/>
      <c r="CC111" s="369"/>
      <c r="CD111" s="369"/>
      <c r="CE111" s="369"/>
      <c r="CF111" s="369"/>
      <c r="CG111" s="369"/>
      <c r="CH111" s="369"/>
      <c r="CI111" s="369"/>
      <c r="CJ111" s="369"/>
      <c r="CK111" s="369"/>
      <c r="CL111" s="369"/>
      <c r="CM111" s="369"/>
      <c r="CN111" s="369"/>
      <c r="CO111" s="369"/>
      <c r="CP111" s="369"/>
      <c r="CQ111" s="369"/>
      <c r="CR111" s="369"/>
      <c r="CS111" s="369"/>
      <c r="CT111" s="369"/>
      <c r="CU111" s="369"/>
      <c r="CV111" s="369"/>
      <c r="CW111" s="369"/>
      <c r="CX111" s="369"/>
      <c r="CY111" s="369"/>
      <c r="CZ111" s="369"/>
      <c r="DA111" s="369"/>
      <c r="DB111" s="369"/>
      <c r="DC111" s="369"/>
      <c r="DD111" s="369"/>
      <c r="DE111" s="369"/>
      <c r="DF111" s="369"/>
      <c r="DG111" s="369"/>
      <c r="DH111" s="369"/>
      <c r="DI111" s="369"/>
      <c r="DJ111" s="369"/>
      <c r="DK111" s="369"/>
      <c r="DL111" s="369"/>
      <c r="DM111" s="369"/>
      <c r="DN111" s="369"/>
      <c r="DO111" s="369"/>
      <c r="DP111" s="369"/>
      <c r="DQ111" s="369"/>
      <c r="DR111" s="369"/>
      <c r="DS111" s="369"/>
      <c r="DT111" s="369"/>
      <c r="DU111" s="369"/>
      <c r="DV111" s="369"/>
      <c r="DW111" s="369"/>
      <c r="DX111" s="369"/>
      <c r="DY111" s="369"/>
      <c r="DZ111" s="369"/>
      <c r="EA111" s="369"/>
      <c r="EB111" s="369"/>
      <c r="EC111" s="369"/>
      <c r="ED111" s="369"/>
      <c r="EE111" s="369"/>
      <c r="EF111" s="369"/>
      <c r="EG111" s="369"/>
      <c r="EH111" s="369"/>
      <c r="EI111" s="369"/>
      <c r="EJ111" s="369"/>
      <c r="EK111" s="369"/>
      <c r="EL111" s="369"/>
      <c r="EM111" s="369"/>
      <c r="EN111" s="369"/>
      <c r="EO111" s="369"/>
      <c r="EP111" s="369"/>
      <c r="EQ111" s="369"/>
      <c r="ER111" s="369"/>
      <c r="ES111" s="369"/>
      <c r="ET111" s="369"/>
      <c r="EU111" s="369"/>
      <c r="EV111" s="369"/>
      <c r="EW111" s="369"/>
      <c r="EX111" s="369"/>
      <c r="EY111" s="369"/>
      <c r="EZ111" s="369"/>
      <c r="FA111" s="369"/>
      <c r="FB111" s="369"/>
      <c r="FC111" s="369"/>
      <c r="FD111" s="369"/>
      <c r="FE111" s="369"/>
      <c r="FF111" s="369"/>
      <c r="FG111" s="369"/>
      <c r="FH111" s="369"/>
      <c r="FI111" s="369"/>
      <c r="FJ111" s="369"/>
      <c r="FK111" s="369"/>
      <c r="FL111" s="369"/>
      <c r="FM111" s="369"/>
      <c r="FN111" s="369"/>
      <c r="FO111" s="369"/>
      <c r="FP111" s="369"/>
      <c r="FQ111" s="369"/>
      <c r="FR111" s="369"/>
      <c r="FS111" s="369"/>
      <c r="FT111" s="369"/>
      <c r="FU111" s="369"/>
      <c r="FV111" s="369"/>
      <c r="FW111" s="369"/>
      <c r="FX111" s="369"/>
      <c r="FY111" s="369"/>
      <c r="FZ111" s="369"/>
      <c r="GA111" s="369"/>
      <c r="GB111" s="369"/>
      <c r="GC111" s="369"/>
      <c r="GD111" s="369"/>
      <c r="GE111" s="369"/>
      <c r="GF111" s="369"/>
      <c r="GG111" s="369"/>
      <c r="GH111" s="369"/>
      <c r="GI111" s="369"/>
      <c r="GJ111" s="369"/>
      <c r="GK111" s="369"/>
      <c r="GL111" s="369"/>
      <c r="GM111" s="369"/>
      <c r="GN111" s="369"/>
      <c r="GO111" s="369"/>
      <c r="GP111" s="369"/>
      <c r="GQ111" s="369"/>
      <c r="GR111" s="369"/>
      <c r="GS111" s="369"/>
      <c r="GT111" s="369"/>
      <c r="GU111" s="369"/>
      <c r="GV111" s="369"/>
      <c r="GW111" s="369"/>
      <c r="GX111" s="369"/>
      <c r="GY111" s="369"/>
      <c r="GZ111" s="369"/>
      <c r="HA111" s="369"/>
      <c r="HB111" s="369"/>
      <c r="HC111" s="369"/>
      <c r="HD111" s="369"/>
      <c r="HE111" s="369"/>
      <c r="HF111" s="369"/>
      <c r="HG111" s="369"/>
      <c r="HH111" s="369"/>
      <c r="HI111" s="369"/>
      <c r="HJ111" s="369"/>
      <c r="HK111" s="369"/>
      <c r="HL111" s="369"/>
      <c r="HM111" s="369"/>
      <c r="HN111" s="369"/>
      <c r="HO111" s="369"/>
      <c r="HP111" s="369"/>
      <c r="HQ111" s="369"/>
      <c r="HR111" s="369"/>
      <c r="HS111" s="369"/>
      <c r="HT111" s="369"/>
      <c r="HU111" s="369"/>
      <c r="HV111" s="369"/>
      <c r="HW111" s="369"/>
      <c r="HX111" s="369"/>
      <c r="HY111" s="369"/>
      <c r="HZ111" s="369"/>
      <c r="IA111" s="369"/>
      <c r="IB111" s="369"/>
      <c r="IC111" s="369"/>
      <c r="ID111" s="369"/>
      <c r="IE111" s="369"/>
      <c r="IF111" s="369"/>
      <c r="IG111" s="369"/>
      <c r="IH111" s="369"/>
      <c r="II111" s="369"/>
      <c r="IJ111" s="369"/>
      <c r="IK111" s="369"/>
      <c r="IL111" s="369"/>
      <c r="IM111" s="369"/>
      <c r="IN111" s="369"/>
      <c r="IO111" s="369"/>
      <c r="IP111" s="369"/>
      <c r="IQ111" s="369"/>
      <c r="IR111" s="369"/>
      <c r="IS111" s="369"/>
      <c r="IT111" s="369"/>
      <c r="IU111" s="369"/>
      <c r="IV111" s="369"/>
      <c r="IW111" s="369"/>
    </row>
    <row r="112" customFormat="false" ht="12.75" hidden="false" customHeight="false" outlineLevel="0" collapsed="false">
      <c r="A112" s="460" t="n">
        <f aca="false">Assm!$K$74</f>
        <v>0.6</v>
      </c>
      <c r="B112" s="39" t="s">
        <v>388</v>
      </c>
      <c r="C112" s="311" t="s">
        <v>235</v>
      </c>
      <c r="D112" s="459"/>
      <c r="E112" s="229" t="n">
        <f aca="false">IF(E$7=YEAR(Startops1),Assm!$O$35*$A112,0)</f>
        <v>0</v>
      </c>
      <c r="F112" s="229" t="n">
        <f aca="false">IF(F$7=YEAR(Startops1),Assm!$O$35*$A112,0)</f>
        <v>0</v>
      </c>
      <c r="G112" s="229" t="n">
        <f aca="false">IF(G$7=YEAR(Startops1),Assm!$O$35*$A112,0)</f>
        <v>0</v>
      </c>
      <c r="H112" s="229" t="n">
        <f aca="false">IF(H$7=YEAR(Startops1),Assm!$O$35*$A112,0)</f>
        <v>0</v>
      </c>
      <c r="I112" s="229" t="n">
        <f aca="false">IF(I$7=YEAR(Startops1),Assm!$O$35*$A112,0)</f>
        <v>0</v>
      </c>
      <c r="J112" s="229" t="n">
        <f aca="false">IF(J$7=YEAR(Startops1),Assm!$O$35*$A112,0)</f>
        <v>0</v>
      </c>
      <c r="K112" s="229" t="n">
        <f aca="false">IF(K$7=YEAR(Startops1),Assm!$O$35*$A112,0)</f>
        <v>0</v>
      </c>
      <c r="L112" s="229" t="n">
        <f aca="false">IF(L$7=YEAR(Startops1),Assm!$O$35*$A112,0)</f>
        <v>0</v>
      </c>
      <c r="M112" s="229" t="n">
        <f aca="false">IF(M$7=YEAR(Startops1),Assm!$O$35*$A112,0)</f>
        <v>0</v>
      </c>
      <c r="N112" s="229" t="n">
        <f aca="false">IF(N$7=YEAR(Startops1),Assm!$O$35*$A112,0)</f>
        <v>0</v>
      </c>
      <c r="O112" s="229" t="n">
        <f aca="false">IF(O$7=YEAR(Startops1),Assm!$O$35*$A112,0)</f>
        <v>0</v>
      </c>
      <c r="P112" s="229" t="n">
        <f aca="false">IF(P$7=YEAR(Startops1),Assm!$O$35*$A112,0)</f>
        <v>0</v>
      </c>
      <c r="Q112" s="229" t="n">
        <f aca="false">IF(Q$7=YEAR(Startops1),Assm!$O$35*$A112,0)</f>
        <v>0</v>
      </c>
      <c r="R112" s="229" t="n">
        <f aca="false">IF(R$7=YEAR(Startops1),Assm!$O$35*$A112,0)</f>
        <v>0</v>
      </c>
      <c r="S112" s="229" t="n">
        <f aca="false">IF(S$7=YEAR(Startops1),Assm!$O$35*$A112,0)</f>
        <v>0</v>
      </c>
      <c r="T112" s="229" t="n">
        <f aca="false">IF(T$7=YEAR(Startops1),Assm!$O$35*$A112,0)</f>
        <v>0</v>
      </c>
      <c r="U112" s="229" t="n">
        <f aca="false">IF(U$7=YEAR(Startops1),Assm!$O$35*$A112,0)</f>
        <v>0</v>
      </c>
      <c r="V112" s="229" t="n">
        <f aca="false">IF(V$7=YEAR(Startops1),Assm!$O$35*$A112,0)</f>
        <v>0</v>
      </c>
      <c r="W112" s="229" t="n">
        <f aca="false">IF(W$7=YEAR(Startops1),Assm!$O$35*$A112,0)</f>
        <v>0</v>
      </c>
      <c r="X112" s="229" t="n">
        <f aca="false">IF(X$7=YEAR(Startops1),Assm!$O$35*$A112,0)</f>
        <v>0</v>
      </c>
      <c r="Y112" s="229" t="n">
        <f aca="false">IF(Y$7=YEAR(Startops1),Assm!$O$35*$A112,0)</f>
        <v>0</v>
      </c>
      <c r="Z112" s="229" t="n">
        <f aca="false">IF(Z$7=YEAR(Startops1),Assm!$O$35*$A112,0)</f>
        <v>0</v>
      </c>
      <c r="AA112" s="304" t="n">
        <f aca="false">SUM(D112:Z112)</f>
        <v>0</v>
      </c>
      <c r="AB112" s="304" t="n">
        <f aca="false">$E112+NPV(Disc,$F112:Z112)</f>
        <v>0</v>
      </c>
      <c r="AD112" s="369"/>
      <c r="AE112" s="369"/>
      <c r="AF112" s="369"/>
      <c r="AG112" s="369"/>
      <c r="AH112" s="369"/>
      <c r="AI112" s="369"/>
      <c r="AJ112" s="369"/>
      <c r="AK112" s="369"/>
      <c r="AL112" s="369"/>
      <c r="AM112" s="369"/>
      <c r="AN112" s="369"/>
      <c r="AO112" s="369"/>
      <c r="AP112" s="369"/>
      <c r="AQ112" s="369"/>
      <c r="AR112" s="369"/>
      <c r="AS112" s="369"/>
      <c r="AT112" s="369"/>
      <c r="AU112" s="369"/>
      <c r="AV112" s="369"/>
      <c r="AW112" s="369"/>
      <c r="AX112" s="369"/>
      <c r="AY112" s="369"/>
      <c r="AZ112" s="369"/>
      <c r="BA112" s="369"/>
      <c r="BB112" s="369"/>
      <c r="BC112" s="369"/>
      <c r="BD112" s="369"/>
      <c r="BE112" s="369"/>
      <c r="BF112" s="369"/>
      <c r="BG112" s="369"/>
      <c r="BH112" s="369"/>
      <c r="BI112" s="369"/>
      <c r="BJ112" s="369"/>
      <c r="BK112" s="369"/>
      <c r="BL112" s="369"/>
      <c r="BM112" s="369"/>
      <c r="BN112" s="369"/>
      <c r="BO112" s="369"/>
      <c r="BP112" s="369"/>
      <c r="BQ112" s="369"/>
      <c r="BR112" s="369"/>
      <c r="BS112" s="369"/>
      <c r="BT112" s="369"/>
      <c r="BU112" s="369"/>
      <c r="BV112" s="369"/>
      <c r="BW112" s="369"/>
      <c r="BX112" s="369"/>
      <c r="BY112" s="369"/>
      <c r="BZ112" s="369"/>
      <c r="CA112" s="369"/>
      <c r="CB112" s="369"/>
      <c r="CC112" s="369"/>
      <c r="CD112" s="369"/>
      <c r="CE112" s="369"/>
      <c r="CF112" s="369"/>
      <c r="CG112" s="369"/>
      <c r="CH112" s="369"/>
      <c r="CI112" s="369"/>
      <c r="CJ112" s="369"/>
      <c r="CK112" s="369"/>
      <c r="CL112" s="369"/>
      <c r="CM112" s="369"/>
      <c r="CN112" s="369"/>
      <c r="CO112" s="369"/>
      <c r="CP112" s="369"/>
      <c r="CQ112" s="369"/>
      <c r="CR112" s="369"/>
      <c r="CS112" s="369"/>
      <c r="CT112" s="369"/>
      <c r="CU112" s="369"/>
      <c r="CV112" s="369"/>
      <c r="CW112" s="369"/>
      <c r="CX112" s="369"/>
      <c r="CY112" s="369"/>
      <c r="CZ112" s="369"/>
      <c r="DA112" s="369"/>
      <c r="DB112" s="369"/>
      <c r="DC112" s="369"/>
      <c r="DD112" s="369"/>
      <c r="DE112" s="369"/>
      <c r="DF112" s="369"/>
      <c r="DG112" s="369"/>
      <c r="DH112" s="369"/>
      <c r="DI112" s="369"/>
      <c r="DJ112" s="369"/>
      <c r="DK112" s="369"/>
      <c r="DL112" s="369"/>
      <c r="DM112" s="369"/>
      <c r="DN112" s="369"/>
      <c r="DO112" s="369"/>
      <c r="DP112" s="369"/>
      <c r="DQ112" s="369"/>
      <c r="DR112" s="369"/>
      <c r="DS112" s="369"/>
      <c r="DT112" s="369"/>
      <c r="DU112" s="369"/>
      <c r="DV112" s="369"/>
      <c r="DW112" s="369"/>
      <c r="DX112" s="369"/>
      <c r="DY112" s="369"/>
      <c r="DZ112" s="369"/>
      <c r="EA112" s="369"/>
      <c r="EB112" s="369"/>
      <c r="EC112" s="369"/>
      <c r="ED112" s="369"/>
      <c r="EE112" s="369"/>
      <c r="EF112" s="369"/>
      <c r="EG112" s="369"/>
      <c r="EH112" s="369"/>
      <c r="EI112" s="369"/>
      <c r="EJ112" s="369"/>
      <c r="EK112" s="369"/>
      <c r="EL112" s="369"/>
      <c r="EM112" s="369"/>
      <c r="EN112" s="369"/>
      <c r="EO112" s="369"/>
      <c r="EP112" s="369"/>
      <c r="EQ112" s="369"/>
      <c r="ER112" s="369"/>
      <c r="ES112" s="369"/>
      <c r="ET112" s="369"/>
      <c r="EU112" s="369"/>
      <c r="EV112" s="369"/>
      <c r="EW112" s="369"/>
      <c r="EX112" s="369"/>
      <c r="EY112" s="369"/>
      <c r="EZ112" s="369"/>
      <c r="FA112" s="369"/>
      <c r="FB112" s="369"/>
      <c r="FC112" s="369"/>
      <c r="FD112" s="369"/>
      <c r="FE112" s="369"/>
      <c r="FF112" s="369"/>
      <c r="FG112" s="369"/>
      <c r="FH112" s="369"/>
      <c r="FI112" s="369"/>
      <c r="FJ112" s="369"/>
      <c r="FK112" s="369"/>
      <c r="FL112" s="369"/>
      <c r="FM112" s="369"/>
      <c r="FN112" s="369"/>
      <c r="FO112" s="369"/>
      <c r="FP112" s="369"/>
      <c r="FQ112" s="369"/>
      <c r="FR112" s="369"/>
      <c r="FS112" s="369"/>
      <c r="FT112" s="369"/>
      <c r="FU112" s="369"/>
      <c r="FV112" s="369"/>
      <c r="FW112" s="369"/>
      <c r="FX112" s="369"/>
      <c r="FY112" s="369"/>
      <c r="FZ112" s="369"/>
      <c r="GA112" s="369"/>
      <c r="GB112" s="369"/>
      <c r="GC112" s="369"/>
      <c r="GD112" s="369"/>
      <c r="GE112" s="369"/>
      <c r="GF112" s="369"/>
      <c r="GG112" s="369"/>
      <c r="GH112" s="369"/>
      <c r="GI112" s="369"/>
      <c r="GJ112" s="369"/>
      <c r="GK112" s="369"/>
      <c r="GL112" s="369"/>
      <c r="GM112" s="369"/>
      <c r="GN112" s="369"/>
      <c r="GO112" s="369"/>
      <c r="GP112" s="369"/>
      <c r="GQ112" s="369"/>
      <c r="GR112" s="369"/>
      <c r="GS112" s="369"/>
      <c r="GT112" s="369"/>
      <c r="GU112" s="369"/>
      <c r="GV112" s="369"/>
      <c r="GW112" s="369"/>
      <c r="GX112" s="369"/>
      <c r="GY112" s="369"/>
      <c r="GZ112" s="369"/>
      <c r="HA112" s="369"/>
      <c r="HB112" s="369"/>
      <c r="HC112" s="369"/>
      <c r="HD112" s="369"/>
      <c r="HE112" s="369"/>
      <c r="HF112" s="369"/>
      <c r="HG112" s="369"/>
      <c r="HH112" s="369"/>
      <c r="HI112" s="369"/>
      <c r="HJ112" s="369"/>
      <c r="HK112" s="369"/>
      <c r="HL112" s="369"/>
      <c r="HM112" s="369"/>
      <c r="HN112" s="369"/>
      <c r="HO112" s="369"/>
      <c r="HP112" s="369"/>
      <c r="HQ112" s="369"/>
      <c r="HR112" s="369"/>
      <c r="HS112" s="369"/>
      <c r="HT112" s="369"/>
      <c r="HU112" s="369"/>
      <c r="HV112" s="369"/>
      <c r="HW112" s="369"/>
      <c r="HX112" s="369"/>
      <c r="HY112" s="369"/>
      <c r="HZ112" s="369"/>
      <c r="IA112" s="369"/>
      <c r="IB112" s="369"/>
      <c r="IC112" s="369"/>
      <c r="ID112" s="369"/>
      <c r="IE112" s="369"/>
      <c r="IF112" s="369"/>
      <c r="IG112" s="369"/>
      <c r="IH112" s="369"/>
      <c r="II112" s="369"/>
      <c r="IJ112" s="369"/>
      <c r="IK112" s="369"/>
      <c r="IL112" s="369"/>
      <c r="IM112" s="369"/>
      <c r="IN112" s="369"/>
      <c r="IO112" s="369"/>
      <c r="IP112" s="369"/>
      <c r="IQ112" s="369"/>
      <c r="IR112" s="369"/>
      <c r="IS112" s="369"/>
      <c r="IT112" s="369"/>
      <c r="IU112" s="369"/>
      <c r="IV112" s="369"/>
      <c r="IW112" s="369"/>
    </row>
    <row r="113" customFormat="false" ht="12.75" hidden="false" customHeight="false" outlineLevel="0" collapsed="false">
      <c r="A113" s="460" t="n">
        <f aca="false">Assm!$K$75</f>
        <v>1</v>
      </c>
      <c r="B113" s="39" t="s">
        <v>389</v>
      </c>
      <c r="C113" s="311" t="s">
        <v>235</v>
      </c>
      <c r="D113" s="39"/>
      <c r="E113" s="229" t="n">
        <f aca="false">IF(E$7&lt;YEAR(Startops1),0,HLOOKUP(E$7,CF_Table,CF!$AB$28)*$A113)</f>
        <v>0</v>
      </c>
      <c r="F113" s="229" t="n">
        <f aca="false">IF(F$7&lt;YEAR(Startops1),0,HLOOKUP(F$7,CF_Table,CF!$AB$28)*$A113)</f>
        <v>0</v>
      </c>
      <c r="G113" s="229" t="n">
        <f aca="false">IF(G$7&lt;YEAR(Startops1),0,HLOOKUP(G$7,CF_Table,CF!$AB$28)*$A113)</f>
        <v>0</v>
      </c>
      <c r="H113" s="229" t="n">
        <f aca="false">IF(H$7&lt;YEAR(Startops1),0,HLOOKUP(H$7,CF_Table,CF!$AB$28)*$A113)</f>
        <v>154.804870588885</v>
      </c>
      <c r="I113" s="229" t="n">
        <f aca="false">IF(I$7&lt;YEAR(Startops1),0,HLOOKUP(I$7,CF_Table,CF!$AB$28)*$A113)</f>
        <v>191.693466183737</v>
      </c>
      <c r="J113" s="229" t="n">
        <f aca="false">IF(J$7&lt;YEAR(Startops1),0,HLOOKUP(J$7,CF_Table,CF!$AB$28)*$A113)</f>
        <v>197.466392320116</v>
      </c>
      <c r="K113" s="229" t="n">
        <f aca="false">IF(K$7&lt;YEAR(Startops1),0,HLOOKUP(K$7,CF_Table,CF!$AB$28)*$A113)</f>
        <v>203.233546487419</v>
      </c>
      <c r="L113" s="229" t="n">
        <f aca="false">IF(L$7&lt;YEAR(Startops1),0,HLOOKUP(L$7,CF_Table,CF!$AB$28)*$A113)</f>
        <v>209.036479853836</v>
      </c>
      <c r="M113" s="229" t="n">
        <f aca="false">IF(M$7&lt;YEAR(Startops1),0,HLOOKUP(M$7,CF_Table,CF!$AB$28)*$A113)</f>
        <v>214.889259191032</v>
      </c>
      <c r="N113" s="229" t="n">
        <f aca="false">IF(N$7&lt;YEAR(Startops1),0,HLOOKUP(N$7,CF_Table,CF!$AB$28)*$A113)</f>
        <v>220.765337093797</v>
      </c>
      <c r="O113" s="229" t="n">
        <f aca="false">IF(O$7&lt;YEAR(Startops1),0,HLOOKUP(O$7,CF_Table,CF!$AB$28)*$A113)</f>
        <v>226.671482211106</v>
      </c>
      <c r="P113" s="229" t="n">
        <f aca="false">IF(P$7&lt;YEAR(Startops1),0,HLOOKUP(P$7,CF_Table,CF!$AB$28)*$A113)</f>
        <v>232.626394165952</v>
      </c>
      <c r="Q113" s="229" t="n">
        <f aca="false">IF(Q$7&lt;YEAR(Startops1),0,HLOOKUP(Q$7,CF_Table,CF!$AB$28)*$A113)</f>
        <v>238.637592150263</v>
      </c>
      <c r="R113" s="229" t="n">
        <f aca="false">IF(R$7&lt;YEAR(Startops1),0,HLOOKUP(R$7,CF_Table,CF!$AB$28)*$A113)</f>
        <v>244.717288449503</v>
      </c>
      <c r="S113" s="229" t="n">
        <f aca="false">IF(S$7&lt;YEAR(Startops1),0,HLOOKUP(S$7,CF_Table,CF!$AB$28)*$A113)</f>
        <v>250.887979462834</v>
      </c>
      <c r="T113" s="229" t="n">
        <f aca="false">IF(T$7&lt;YEAR(Startops1),0,HLOOKUP(T$7,CF_Table,CF!$AB$28)*$A113)</f>
        <v>257.186741144129</v>
      </c>
      <c r="U113" s="229" t="n">
        <f aca="false">IF(U$7&lt;YEAR(Startops1),0,HLOOKUP(U$7,CF_Table,CF!$AB$28)*$A113)</f>
        <v>263.686141653856</v>
      </c>
      <c r="V113" s="229" t="n">
        <f aca="false">IF(V$7&lt;YEAR(Startops1),0,HLOOKUP(V$7,CF_Table,CF!$AB$28)*$A113)</f>
        <v>270.447204387066</v>
      </c>
      <c r="W113" s="229" t="n">
        <f aca="false">IF(W$7&lt;YEAR(Startops1),0,HLOOKUP(W$7,CF_Table,CF!$AB$28)*$A113)</f>
        <v>277.499564960254</v>
      </c>
      <c r="X113" s="229" t="n">
        <f aca="false">IF(X$7&lt;YEAR(Startops1),0,HLOOKUP(X$7,CF_Table,CF!$AB$28)*$A113)</f>
        <v>284.875346656415</v>
      </c>
      <c r="Y113" s="229" t="n">
        <f aca="false">IF(Y$7&lt;YEAR(Startops1),0,HLOOKUP(Y$7,CF_Table,CF!$AB$28)*$A113)</f>
        <v>292.57339247806</v>
      </c>
      <c r="Z113" s="229" t="n">
        <f aca="false">IF(Z$7&lt;YEAR(Startops1),0,HLOOKUP(Z$7,CF_Table,CF!$AB$28)*$A113)</f>
        <v>100.200858055483</v>
      </c>
      <c r="AA113" s="304" t="n">
        <f aca="false">SUM(D113:Z113)</f>
        <v>4331.89933749374</v>
      </c>
      <c r="AB113" s="304" t="n">
        <f aca="false">$E113+NPV(Disc,$F113:Z113)</f>
        <v>737.865349956771</v>
      </c>
    </row>
    <row r="114" customFormat="false" ht="12.75" hidden="false" customHeight="false" outlineLevel="0" collapsed="false">
      <c r="A114" s="138"/>
      <c r="B114" s="39" t="s">
        <v>415</v>
      </c>
      <c r="C114" s="39"/>
      <c r="D114" s="459"/>
      <c r="E114" s="306" t="n">
        <f aca="false">-SUM(E109,E112:E113)*USTax</f>
        <v>-0</v>
      </c>
      <c r="F114" s="306" t="n">
        <f aca="false">-SUM(F109,F112:F113)*USTax</f>
        <v>-0</v>
      </c>
      <c r="G114" s="306" t="n">
        <f aca="false">-SUM(G109,G112:G113)*USTax</f>
        <v>-0</v>
      </c>
      <c r="H114" s="306" t="n">
        <f aca="false">-SUM(H109,H112:H113)*USTax</f>
        <v>-57.2778021178875</v>
      </c>
      <c r="I114" s="306" t="n">
        <f aca="false">-SUM(I109,I112:I113)*USTax</f>
        <v>-70.9265824879828</v>
      </c>
      <c r="J114" s="306" t="n">
        <f aca="false">-SUM(J109,J112:J113)*USTax</f>
        <v>-71.9048055250195</v>
      </c>
      <c r="K114" s="306" t="n">
        <f aca="false">-SUM(K109,K112:K113)*USTax</f>
        <v>-74.0386525669213</v>
      </c>
      <c r="L114" s="306" t="n">
        <f aca="false">-SUM(L109,L112:L113)*USTax</f>
        <v>-90.3196588151643</v>
      </c>
      <c r="M114" s="306" t="n">
        <f aca="false">-SUM(M109,M112:M113)*USTax</f>
        <v>-109.657273942665</v>
      </c>
      <c r="N114" s="306" t="n">
        <f aca="false">-SUM(N109,N112:N113)*USTax</f>
        <v>-125.56545443521</v>
      </c>
      <c r="O114" s="306" t="n">
        <f aca="false">-SUM(O109,O112:O113)*USTax</f>
        <v>-142.512071164275</v>
      </c>
      <c r="P114" s="306" t="n">
        <f aca="false">-SUM(P109,P112:P113)*USTax</f>
        <v>-159.777010770614</v>
      </c>
      <c r="Q114" s="306" t="n">
        <f aca="false">-SUM(Q109,Q112:Q113)*USTax</f>
        <v>-176.015703908275</v>
      </c>
      <c r="R114" s="306" t="n">
        <f aca="false">-SUM(R109,R112:R113)*USTax</f>
        <v>-180.740611520943</v>
      </c>
      <c r="S114" s="306" t="n">
        <f aca="false">-SUM(S109,S112:S113)*USTax</f>
        <v>-179.141986476619</v>
      </c>
      <c r="T114" s="306" t="n">
        <f aca="false">-SUM(T109,T112:T113)*USTax</f>
        <v>-178.591026106187</v>
      </c>
      <c r="U114" s="306" t="n">
        <f aca="false">-SUM(U109,U112:U113)*USTax</f>
        <v>-179.048554448763</v>
      </c>
      <c r="V114" s="306" t="n">
        <f aca="false">-SUM(V109,V112:V113)*USTax</f>
        <v>-170.549833134985</v>
      </c>
      <c r="W114" s="306" t="n">
        <f aca="false">-SUM(W109,W112:W113)*USTax</f>
        <v>-158.781944532437</v>
      </c>
      <c r="X114" s="306" t="n">
        <f aca="false">-SUM(X109,X112:X113)*USTax</f>
        <v>-139.851813333235</v>
      </c>
      <c r="Y114" s="306" t="n">
        <f aca="false">-SUM(Y109,Y112:Y113)*USTax</f>
        <v>-106.511978800505</v>
      </c>
      <c r="Z114" s="306" t="n">
        <f aca="false">-SUM(Z109,Z112:Z113)*USTax</f>
        <v>-9.75661718996689</v>
      </c>
      <c r="AA114" s="304" t="n">
        <f aca="false">SUM(D114:Z114)</f>
        <v>-2380.96938127766</v>
      </c>
      <c r="AB114" s="307" t="n">
        <f aca="false">$E114+NPV(Disc,$F114:Z114)</f>
        <v>-359.426490835452</v>
      </c>
      <c r="AD114" s="369"/>
      <c r="AE114" s="369"/>
      <c r="AF114" s="369"/>
      <c r="AG114" s="369"/>
      <c r="AH114" s="369"/>
      <c r="AI114" s="369"/>
      <c r="AJ114" s="369"/>
      <c r="AK114" s="369"/>
      <c r="AL114" s="369"/>
      <c r="AM114" s="369"/>
      <c r="AN114" s="369"/>
      <c r="AO114" s="369"/>
      <c r="AP114" s="369"/>
      <c r="AQ114" s="369"/>
      <c r="AR114" s="369"/>
      <c r="AS114" s="369"/>
      <c r="AT114" s="369"/>
      <c r="AU114" s="369"/>
      <c r="AV114" s="369"/>
      <c r="AW114" s="369"/>
      <c r="AX114" s="369"/>
      <c r="AY114" s="369"/>
      <c r="AZ114" s="369"/>
      <c r="BA114" s="369"/>
      <c r="BB114" s="369"/>
      <c r="BC114" s="369"/>
      <c r="BD114" s="369"/>
      <c r="BE114" s="369"/>
      <c r="BF114" s="369"/>
      <c r="BG114" s="369"/>
      <c r="BH114" s="369"/>
      <c r="BI114" s="369"/>
      <c r="BJ114" s="369"/>
      <c r="BK114" s="369"/>
      <c r="BL114" s="369"/>
      <c r="BM114" s="369"/>
      <c r="BN114" s="369"/>
      <c r="BO114" s="369"/>
      <c r="BP114" s="369"/>
      <c r="BQ114" s="369"/>
      <c r="BR114" s="369"/>
      <c r="BS114" s="369"/>
      <c r="BT114" s="369"/>
      <c r="BU114" s="369"/>
      <c r="BV114" s="369"/>
      <c r="BW114" s="369"/>
      <c r="BX114" s="369"/>
      <c r="BY114" s="369"/>
      <c r="BZ114" s="369"/>
      <c r="CA114" s="369"/>
      <c r="CB114" s="369"/>
      <c r="CC114" s="369"/>
      <c r="CD114" s="369"/>
      <c r="CE114" s="369"/>
      <c r="CF114" s="369"/>
      <c r="CG114" s="369"/>
      <c r="CH114" s="369"/>
      <c r="CI114" s="369"/>
      <c r="CJ114" s="369"/>
      <c r="CK114" s="369"/>
      <c r="CL114" s="369"/>
      <c r="CM114" s="369"/>
      <c r="CN114" s="369"/>
      <c r="CO114" s="369"/>
      <c r="CP114" s="369"/>
      <c r="CQ114" s="369"/>
      <c r="CR114" s="369"/>
      <c r="CS114" s="369"/>
      <c r="CT114" s="369"/>
      <c r="CU114" s="369"/>
      <c r="CV114" s="369"/>
      <c r="CW114" s="369"/>
      <c r="CX114" s="369"/>
      <c r="CY114" s="369"/>
      <c r="CZ114" s="369"/>
      <c r="DA114" s="369"/>
      <c r="DB114" s="369"/>
      <c r="DC114" s="369"/>
      <c r="DD114" s="369"/>
      <c r="DE114" s="369"/>
      <c r="DF114" s="369"/>
      <c r="DG114" s="369"/>
      <c r="DH114" s="369"/>
      <c r="DI114" s="369"/>
      <c r="DJ114" s="369"/>
      <c r="DK114" s="369"/>
      <c r="DL114" s="369"/>
      <c r="DM114" s="369"/>
      <c r="DN114" s="369"/>
      <c r="DO114" s="369"/>
      <c r="DP114" s="369"/>
      <c r="DQ114" s="369"/>
      <c r="DR114" s="369"/>
      <c r="DS114" s="369"/>
      <c r="DT114" s="369"/>
      <c r="DU114" s="369"/>
      <c r="DV114" s="369"/>
      <c r="DW114" s="369"/>
      <c r="DX114" s="369"/>
      <c r="DY114" s="369"/>
      <c r="DZ114" s="369"/>
      <c r="EA114" s="369"/>
      <c r="EB114" s="369"/>
      <c r="EC114" s="369"/>
      <c r="ED114" s="369"/>
      <c r="EE114" s="369"/>
      <c r="EF114" s="369"/>
      <c r="EG114" s="369"/>
      <c r="EH114" s="369"/>
      <c r="EI114" s="369"/>
      <c r="EJ114" s="369"/>
      <c r="EK114" s="369"/>
      <c r="EL114" s="369"/>
      <c r="EM114" s="369"/>
      <c r="EN114" s="369"/>
      <c r="EO114" s="369"/>
      <c r="EP114" s="369"/>
      <c r="EQ114" s="369"/>
      <c r="ER114" s="369"/>
      <c r="ES114" s="369"/>
      <c r="ET114" s="369"/>
      <c r="EU114" s="369"/>
      <c r="EV114" s="369"/>
      <c r="EW114" s="369"/>
      <c r="EX114" s="369"/>
      <c r="EY114" s="369"/>
      <c r="EZ114" s="369"/>
      <c r="FA114" s="369"/>
      <c r="FB114" s="369"/>
      <c r="FC114" s="369"/>
      <c r="FD114" s="369"/>
      <c r="FE114" s="369"/>
      <c r="FF114" s="369"/>
      <c r="FG114" s="369"/>
      <c r="FH114" s="369"/>
      <c r="FI114" s="369"/>
      <c r="FJ114" s="369"/>
      <c r="FK114" s="369"/>
      <c r="FL114" s="369"/>
      <c r="FM114" s="369"/>
      <c r="FN114" s="369"/>
      <c r="FO114" s="369"/>
      <c r="FP114" s="369"/>
      <c r="FQ114" s="369"/>
      <c r="FR114" s="369"/>
      <c r="FS114" s="369"/>
      <c r="FT114" s="369"/>
      <c r="FU114" s="369"/>
      <c r="FV114" s="369"/>
      <c r="FW114" s="369"/>
      <c r="FX114" s="369"/>
      <c r="FY114" s="369"/>
      <c r="FZ114" s="369"/>
      <c r="GA114" s="369"/>
      <c r="GB114" s="369"/>
      <c r="GC114" s="369"/>
      <c r="GD114" s="369"/>
      <c r="GE114" s="369"/>
      <c r="GF114" s="369"/>
      <c r="GG114" s="369"/>
      <c r="GH114" s="369"/>
      <c r="GI114" s="369"/>
      <c r="GJ114" s="369"/>
      <c r="GK114" s="369"/>
      <c r="GL114" s="369"/>
      <c r="GM114" s="369"/>
      <c r="GN114" s="369"/>
      <c r="GO114" s="369"/>
      <c r="GP114" s="369"/>
      <c r="GQ114" s="369"/>
      <c r="GR114" s="369"/>
      <c r="GS114" s="369"/>
      <c r="GT114" s="369"/>
      <c r="GU114" s="369"/>
      <c r="GV114" s="369"/>
      <c r="GW114" s="369"/>
      <c r="GX114" s="369"/>
      <c r="GY114" s="369"/>
      <c r="GZ114" s="369"/>
      <c r="HA114" s="369"/>
      <c r="HB114" s="369"/>
      <c r="HC114" s="369"/>
      <c r="HD114" s="369"/>
      <c r="HE114" s="369"/>
      <c r="HF114" s="369"/>
      <c r="HG114" s="369"/>
      <c r="HH114" s="369"/>
      <c r="HI114" s="369"/>
      <c r="HJ114" s="369"/>
      <c r="HK114" s="369"/>
      <c r="HL114" s="369"/>
      <c r="HM114" s="369"/>
      <c r="HN114" s="369"/>
      <c r="HO114" s="369"/>
      <c r="HP114" s="369"/>
      <c r="HQ114" s="369"/>
      <c r="HR114" s="369"/>
      <c r="HS114" s="369"/>
      <c r="HT114" s="369"/>
      <c r="HU114" s="369"/>
      <c r="HV114" s="369"/>
      <c r="HW114" s="369"/>
      <c r="HX114" s="369"/>
      <c r="HY114" s="369"/>
      <c r="HZ114" s="369"/>
      <c r="IA114" s="369"/>
      <c r="IB114" s="369"/>
      <c r="IC114" s="369"/>
      <c r="ID114" s="369"/>
      <c r="IE114" s="369"/>
      <c r="IF114" s="369"/>
      <c r="IG114" s="369"/>
      <c r="IH114" s="369"/>
      <c r="II114" s="369"/>
      <c r="IJ114" s="369"/>
      <c r="IK114" s="369"/>
      <c r="IL114" s="369"/>
      <c r="IM114" s="369"/>
      <c r="IN114" s="369"/>
      <c r="IO114" s="369"/>
      <c r="IP114" s="369"/>
      <c r="IQ114" s="369"/>
      <c r="IR114" s="369"/>
      <c r="IS114" s="369"/>
      <c r="IT114" s="369"/>
      <c r="IU114" s="369"/>
      <c r="IV114" s="369"/>
      <c r="IW114" s="369"/>
    </row>
    <row r="115" customFormat="false" ht="12.75" hidden="false" customHeight="false" outlineLevel="0" collapsed="false">
      <c r="A115" s="138"/>
      <c r="B115" s="39" t="s">
        <v>378</v>
      </c>
      <c r="C115" s="39"/>
      <c r="D115" s="368"/>
      <c r="E115" s="61" t="n">
        <f aca="false">SUM(E104:E114)</f>
        <v>-829.746260706189</v>
      </c>
      <c r="F115" s="61" t="n">
        <f aca="false">SUM(F104:F114)</f>
        <v>-2811.56784269777</v>
      </c>
      <c r="G115" s="61" t="n">
        <f aca="false">SUM(G104:G114)</f>
        <v>0</v>
      </c>
      <c r="H115" s="61" t="n">
        <f aca="false">SUM(H104:H114)</f>
        <v>149.678403309897</v>
      </c>
      <c r="I115" s="61" t="n">
        <f aca="false">SUM(I104:I114)</f>
        <v>-515.896220028053</v>
      </c>
      <c r="J115" s="61" t="n">
        <f aca="false">SUM(J104:J114)</f>
        <v>-651.084915490653</v>
      </c>
      <c r="K115" s="61" t="n">
        <f aca="false">SUM(K104:K114)</f>
        <v>-492.584261328499</v>
      </c>
      <c r="L115" s="61" t="n">
        <f aca="false">SUM(L104:L114)</f>
        <v>-511.137834794923</v>
      </c>
      <c r="M115" s="61" t="n">
        <f aca="false">SUM(M104:M114)</f>
        <v>-491.737712973581</v>
      </c>
      <c r="N115" s="61" t="n">
        <f aca="false">SUM(N104:N114)</f>
        <v>-417.485392153785</v>
      </c>
      <c r="O115" s="61" t="n">
        <f aca="false">SUM(O104:O114)</f>
        <v>-45.5688795197789</v>
      </c>
      <c r="P115" s="61" t="n">
        <f aca="false">SUM(P104:P114)</f>
        <v>323.324045923956</v>
      </c>
      <c r="Q115" s="61" t="n">
        <f aca="false">SUM(Q104:Q114)</f>
        <v>425.247353799098</v>
      </c>
      <c r="R115" s="61" t="n">
        <f aca="false">SUM(R104:R114)</f>
        <v>409.899123650249</v>
      </c>
      <c r="S115" s="61" t="n">
        <f aca="false">SUM(S104:S114)</f>
        <v>396.296004695798</v>
      </c>
      <c r="T115" s="61" t="n">
        <f aca="false">SUM(T104:T114)</f>
        <v>846.62829614554</v>
      </c>
      <c r="U115" s="61" t="n">
        <f aca="false">SUM(U104:U114)</f>
        <v>1040.48386809829</v>
      </c>
      <c r="V115" s="61" t="n">
        <f aca="false">SUM(V104:V114)</f>
        <v>1411.66448210485</v>
      </c>
      <c r="W115" s="61" t="n">
        <f aca="false">SUM(W104:W114)</f>
        <v>2112.5098278004</v>
      </c>
      <c r="X115" s="61" t="n">
        <f aca="false">SUM(X104:X114)</f>
        <v>2192.37220409998</v>
      </c>
      <c r="Y115" s="61" t="n">
        <f aca="false">SUM(Y104:Y114)</f>
        <v>2228.61607017677</v>
      </c>
      <c r="Z115" s="61" t="n">
        <f aca="false">SUM(Z104:Z114)</f>
        <v>24673.6984283995</v>
      </c>
      <c r="AA115" s="304" t="n">
        <f aca="false">SUM(D115:Z115)</f>
        <v>29443.608788511</v>
      </c>
      <c r="AB115" s="304" t="n">
        <f aca="false">SUM(AB104:AB114)</f>
        <v>-2917.2842601764</v>
      </c>
      <c r="AD115" s="416"/>
      <c r="AE115" s="416"/>
      <c r="AF115" s="416"/>
      <c r="AG115" s="416"/>
      <c r="AH115" s="416"/>
      <c r="AI115" s="416"/>
      <c r="AJ115" s="416"/>
      <c r="AK115" s="416"/>
      <c r="AL115" s="416"/>
      <c r="AM115" s="416"/>
      <c r="AN115" s="416"/>
      <c r="AO115" s="416"/>
      <c r="AP115" s="416"/>
      <c r="AQ115" s="416"/>
      <c r="AR115" s="416"/>
      <c r="AS115" s="416"/>
      <c r="AT115" s="416"/>
      <c r="AU115" s="416"/>
      <c r="AV115" s="416"/>
      <c r="AW115" s="416"/>
      <c r="AX115" s="416"/>
      <c r="AY115" s="416"/>
      <c r="AZ115" s="416"/>
      <c r="BA115" s="416"/>
      <c r="BB115" s="416"/>
      <c r="BC115" s="416"/>
      <c r="BD115" s="416"/>
      <c r="BE115" s="416"/>
      <c r="BF115" s="416"/>
      <c r="BG115" s="416"/>
      <c r="BH115" s="416"/>
      <c r="BI115" s="416"/>
      <c r="BJ115" s="416"/>
      <c r="BK115" s="416"/>
      <c r="BL115" s="416"/>
      <c r="BM115" s="416"/>
      <c r="BN115" s="416"/>
      <c r="BO115" s="416"/>
      <c r="BP115" s="416"/>
      <c r="BQ115" s="416"/>
      <c r="BR115" s="416"/>
      <c r="BS115" s="416"/>
      <c r="BT115" s="416"/>
      <c r="BU115" s="416"/>
      <c r="BV115" s="416"/>
      <c r="BW115" s="416"/>
      <c r="BX115" s="416"/>
      <c r="BY115" s="416"/>
      <c r="BZ115" s="416"/>
      <c r="CA115" s="416"/>
      <c r="CB115" s="416"/>
      <c r="CC115" s="416"/>
      <c r="CD115" s="416"/>
      <c r="CE115" s="416"/>
      <c r="CF115" s="416"/>
      <c r="CG115" s="416"/>
      <c r="CH115" s="416"/>
      <c r="CI115" s="416"/>
      <c r="CJ115" s="416"/>
      <c r="CK115" s="416"/>
      <c r="CL115" s="416"/>
      <c r="CM115" s="416"/>
      <c r="CN115" s="416"/>
      <c r="CO115" s="416"/>
      <c r="CP115" s="416"/>
      <c r="CQ115" s="416"/>
      <c r="CR115" s="416"/>
      <c r="CS115" s="416"/>
      <c r="CT115" s="416"/>
      <c r="CU115" s="416"/>
      <c r="CV115" s="416"/>
      <c r="CW115" s="416"/>
      <c r="CX115" s="416"/>
      <c r="CY115" s="416"/>
      <c r="CZ115" s="416"/>
      <c r="DA115" s="416"/>
      <c r="DB115" s="416"/>
      <c r="DC115" s="416"/>
      <c r="DD115" s="416"/>
      <c r="DE115" s="416"/>
      <c r="DF115" s="416"/>
      <c r="DG115" s="416"/>
      <c r="DH115" s="416"/>
      <c r="DI115" s="416"/>
      <c r="DJ115" s="416"/>
      <c r="DK115" s="416"/>
      <c r="DL115" s="416"/>
      <c r="DM115" s="416"/>
      <c r="DN115" s="416"/>
      <c r="DO115" s="416"/>
      <c r="DP115" s="416"/>
      <c r="DQ115" s="416"/>
      <c r="DR115" s="416"/>
      <c r="DS115" s="416"/>
      <c r="DT115" s="416"/>
      <c r="DU115" s="416"/>
      <c r="DV115" s="416"/>
      <c r="DW115" s="416"/>
      <c r="DX115" s="416"/>
      <c r="DY115" s="416"/>
      <c r="DZ115" s="416"/>
      <c r="EA115" s="416"/>
      <c r="EB115" s="416"/>
      <c r="EC115" s="416"/>
      <c r="ED115" s="416"/>
      <c r="EE115" s="416"/>
      <c r="EF115" s="416"/>
      <c r="EG115" s="416"/>
      <c r="EH115" s="416"/>
      <c r="EI115" s="416"/>
      <c r="EJ115" s="416"/>
      <c r="EK115" s="416"/>
      <c r="EL115" s="416"/>
      <c r="EM115" s="416"/>
      <c r="EN115" s="416"/>
      <c r="EO115" s="416"/>
      <c r="EP115" s="416"/>
      <c r="EQ115" s="416"/>
      <c r="ER115" s="416"/>
      <c r="ES115" s="416"/>
      <c r="ET115" s="416"/>
      <c r="EU115" s="416"/>
      <c r="EV115" s="416"/>
      <c r="EW115" s="416"/>
      <c r="EX115" s="416"/>
      <c r="EY115" s="416"/>
      <c r="EZ115" s="416"/>
      <c r="FA115" s="416"/>
      <c r="FB115" s="416"/>
      <c r="FC115" s="416"/>
      <c r="FD115" s="416"/>
      <c r="FE115" s="416"/>
      <c r="FF115" s="416"/>
      <c r="FG115" s="416"/>
      <c r="FH115" s="416"/>
      <c r="FI115" s="416"/>
      <c r="FJ115" s="416"/>
      <c r="FK115" s="416"/>
      <c r="FL115" s="416"/>
      <c r="FM115" s="416"/>
      <c r="FN115" s="416"/>
      <c r="FO115" s="416"/>
      <c r="FP115" s="416"/>
      <c r="FQ115" s="416"/>
      <c r="FR115" s="416"/>
      <c r="FS115" s="416"/>
      <c r="FT115" s="416"/>
      <c r="FU115" s="416"/>
      <c r="FV115" s="416"/>
      <c r="FW115" s="416"/>
      <c r="FX115" s="416"/>
      <c r="FY115" s="416"/>
      <c r="FZ115" s="416"/>
      <c r="GA115" s="416"/>
      <c r="GB115" s="416"/>
      <c r="GC115" s="416"/>
      <c r="GD115" s="416"/>
      <c r="GE115" s="416"/>
      <c r="GF115" s="416"/>
      <c r="GG115" s="416"/>
      <c r="GH115" s="416"/>
      <c r="GI115" s="416"/>
      <c r="GJ115" s="416"/>
      <c r="GK115" s="416"/>
      <c r="GL115" s="416"/>
      <c r="GM115" s="416"/>
      <c r="GN115" s="416"/>
      <c r="GO115" s="416"/>
      <c r="GP115" s="416"/>
      <c r="GQ115" s="416"/>
      <c r="GR115" s="416"/>
      <c r="GS115" s="416"/>
      <c r="GT115" s="416"/>
      <c r="GU115" s="416"/>
      <c r="GV115" s="416"/>
      <c r="GW115" s="416"/>
      <c r="GX115" s="416"/>
      <c r="GY115" s="416"/>
      <c r="GZ115" s="416"/>
      <c r="HA115" s="416"/>
      <c r="HB115" s="416"/>
      <c r="HC115" s="416"/>
      <c r="HD115" s="416"/>
      <c r="HE115" s="416"/>
      <c r="HF115" s="416"/>
      <c r="HG115" s="416"/>
      <c r="HH115" s="416"/>
      <c r="HI115" s="416"/>
      <c r="HJ115" s="416"/>
      <c r="HK115" s="416"/>
      <c r="HL115" s="416"/>
      <c r="HM115" s="416"/>
      <c r="HN115" s="416"/>
      <c r="HO115" s="416"/>
      <c r="HP115" s="416"/>
      <c r="HQ115" s="416"/>
      <c r="HR115" s="416"/>
      <c r="HS115" s="416"/>
      <c r="HT115" s="416"/>
      <c r="HU115" s="416"/>
      <c r="HV115" s="416"/>
      <c r="HW115" s="416"/>
      <c r="HX115" s="416"/>
      <c r="HY115" s="416"/>
      <c r="HZ115" s="416"/>
      <c r="IA115" s="416"/>
      <c r="IB115" s="416"/>
      <c r="IC115" s="416"/>
      <c r="ID115" s="416"/>
      <c r="IE115" s="416"/>
      <c r="IF115" s="416"/>
      <c r="IG115" s="416"/>
      <c r="IH115" s="416"/>
      <c r="II115" s="416"/>
      <c r="IJ115" s="416"/>
      <c r="IK115" s="416"/>
      <c r="IL115" s="416"/>
      <c r="IM115" s="416"/>
      <c r="IN115" s="416"/>
      <c r="IO115" s="416"/>
      <c r="IP115" s="416"/>
      <c r="IQ115" s="416"/>
      <c r="IR115" s="416"/>
      <c r="IS115" s="416"/>
      <c r="IT115" s="416"/>
      <c r="IU115" s="416"/>
      <c r="IV115" s="416"/>
      <c r="IW115" s="416"/>
    </row>
    <row r="116" customFormat="false" ht="12.75" hidden="false" customHeight="false" outlineLevel="0" collapsed="false">
      <c r="A116" s="138"/>
      <c r="B116" s="39"/>
      <c r="C116" s="39"/>
      <c r="D116" s="368"/>
      <c r="E116" s="463"/>
      <c r="F116" s="463"/>
      <c r="G116" s="463"/>
      <c r="H116" s="463"/>
      <c r="I116" s="463"/>
      <c r="J116" s="463"/>
      <c r="K116" s="463"/>
      <c r="L116" s="463"/>
      <c r="M116" s="463"/>
      <c r="N116" s="463"/>
      <c r="O116" s="463"/>
      <c r="P116" s="463"/>
      <c r="Q116" s="463"/>
      <c r="R116" s="463"/>
      <c r="S116" s="463"/>
      <c r="T116" s="463"/>
      <c r="U116" s="463"/>
      <c r="V116" s="463"/>
      <c r="W116" s="463"/>
      <c r="X116" s="463"/>
      <c r="Y116" s="463"/>
      <c r="Z116" s="463"/>
      <c r="AA116" s="464"/>
      <c r="AB116" s="298"/>
      <c r="AD116" s="416"/>
      <c r="AE116" s="416"/>
      <c r="AF116" s="416"/>
      <c r="AG116" s="416"/>
      <c r="AH116" s="416"/>
      <c r="AI116" s="416"/>
      <c r="AJ116" s="416"/>
      <c r="AK116" s="416"/>
      <c r="AL116" s="416"/>
      <c r="AM116" s="416"/>
      <c r="AN116" s="416"/>
      <c r="AO116" s="416"/>
      <c r="AP116" s="416"/>
      <c r="AQ116" s="416"/>
      <c r="AR116" s="416"/>
      <c r="AS116" s="416"/>
      <c r="AT116" s="416"/>
      <c r="AU116" s="416"/>
      <c r="AV116" s="416"/>
      <c r="AW116" s="416"/>
      <c r="AX116" s="416"/>
      <c r="AY116" s="416"/>
      <c r="AZ116" s="416"/>
      <c r="BA116" s="416"/>
      <c r="BB116" s="416"/>
      <c r="BC116" s="416"/>
      <c r="BD116" s="416"/>
      <c r="BE116" s="416"/>
      <c r="BF116" s="416"/>
      <c r="BG116" s="416"/>
      <c r="BH116" s="416"/>
      <c r="BI116" s="416"/>
      <c r="BJ116" s="416"/>
      <c r="BK116" s="416"/>
      <c r="BL116" s="416"/>
      <c r="BM116" s="416"/>
      <c r="BN116" s="416"/>
      <c r="BO116" s="416"/>
      <c r="BP116" s="416"/>
      <c r="BQ116" s="416"/>
      <c r="BR116" s="416"/>
      <c r="BS116" s="416"/>
      <c r="BT116" s="416"/>
      <c r="BU116" s="416"/>
      <c r="BV116" s="416"/>
      <c r="BW116" s="416"/>
      <c r="BX116" s="416"/>
      <c r="BY116" s="416"/>
      <c r="BZ116" s="416"/>
      <c r="CA116" s="416"/>
      <c r="CB116" s="416"/>
      <c r="CC116" s="416"/>
      <c r="CD116" s="416"/>
      <c r="CE116" s="416"/>
      <c r="CF116" s="416"/>
      <c r="CG116" s="416"/>
      <c r="CH116" s="416"/>
      <c r="CI116" s="416"/>
      <c r="CJ116" s="416"/>
      <c r="CK116" s="416"/>
      <c r="CL116" s="416"/>
      <c r="CM116" s="416"/>
      <c r="CN116" s="416"/>
      <c r="CO116" s="416"/>
      <c r="CP116" s="416"/>
      <c r="CQ116" s="416"/>
      <c r="CR116" s="416"/>
      <c r="CS116" s="416"/>
      <c r="CT116" s="416"/>
      <c r="CU116" s="416"/>
      <c r="CV116" s="416"/>
      <c r="CW116" s="416"/>
      <c r="CX116" s="416"/>
      <c r="CY116" s="416"/>
      <c r="CZ116" s="416"/>
      <c r="DA116" s="416"/>
      <c r="DB116" s="416"/>
      <c r="DC116" s="416"/>
      <c r="DD116" s="416"/>
      <c r="DE116" s="416"/>
      <c r="DF116" s="416"/>
      <c r="DG116" s="416"/>
      <c r="DH116" s="416"/>
      <c r="DI116" s="416"/>
      <c r="DJ116" s="416"/>
      <c r="DK116" s="416"/>
      <c r="DL116" s="416"/>
      <c r="DM116" s="416"/>
      <c r="DN116" s="416"/>
      <c r="DO116" s="416"/>
      <c r="DP116" s="416"/>
      <c r="DQ116" s="416"/>
      <c r="DR116" s="416"/>
      <c r="DS116" s="416"/>
      <c r="DT116" s="416"/>
      <c r="DU116" s="416"/>
      <c r="DV116" s="416"/>
      <c r="DW116" s="416"/>
      <c r="DX116" s="416"/>
      <c r="DY116" s="416"/>
      <c r="DZ116" s="416"/>
      <c r="EA116" s="416"/>
      <c r="EB116" s="416"/>
      <c r="EC116" s="416"/>
      <c r="ED116" s="416"/>
      <c r="EE116" s="416"/>
      <c r="EF116" s="416"/>
      <c r="EG116" s="416"/>
      <c r="EH116" s="416"/>
      <c r="EI116" s="416"/>
      <c r="EJ116" s="416"/>
      <c r="EK116" s="416"/>
      <c r="EL116" s="416"/>
      <c r="EM116" s="416"/>
      <c r="EN116" s="416"/>
      <c r="EO116" s="416"/>
      <c r="EP116" s="416"/>
      <c r="EQ116" s="416"/>
      <c r="ER116" s="416"/>
      <c r="ES116" s="416"/>
      <c r="ET116" s="416"/>
      <c r="EU116" s="416"/>
      <c r="EV116" s="416"/>
      <c r="EW116" s="416"/>
      <c r="EX116" s="416"/>
      <c r="EY116" s="416"/>
      <c r="EZ116" s="416"/>
      <c r="FA116" s="416"/>
      <c r="FB116" s="416"/>
      <c r="FC116" s="416"/>
      <c r="FD116" s="416"/>
      <c r="FE116" s="416"/>
      <c r="FF116" s="416"/>
      <c r="FG116" s="416"/>
      <c r="FH116" s="416"/>
      <c r="FI116" s="416"/>
      <c r="FJ116" s="416"/>
      <c r="FK116" s="416"/>
      <c r="FL116" s="416"/>
      <c r="FM116" s="416"/>
      <c r="FN116" s="416"/>
      <c r="FO116" s="416"/>
      <c r="FP116" s="416"/>
      <c r="FQ116" s="416"/>
      <c r="FR116" s="416"/>
      <c r="FS116" s="416"/>
      <c r="FT116" s="416"/>
      <c r="FU116" s="416"/>
      <c r="FV116" s="416"/>
      <c r="FW116" s="416"/>
      <c r="FX116" s="416"/>
      <c r="FY116" s="416"/>
      <c r="FZ116" s="416"/>
      <c r="GA116" s="416"/>
      <c r="GB116" s="416"/>
      <c r="GC116" s="416"/>
      <c r="GD116" s="416"/>
      <c r="GE116" s="416"/>
      <c r="GF116" s="416"/>
      <c r="GG116" s="416"/>
      <c r="GH116" s="416"/>
      <c r="GI116" s="416"/>
      <c r="GJ116" s="416"/>
      <c r="GK116" s="416"/>
      <c r="GL116" s="416"/>
      <c r="GM116" s="416"/>
      <c r="GN116" s="416"/>
      <c r="GO116" s="416"/>
      <c r="GP116" s="416"/>
      <c r="GQ116" s="416"/>
      <c r="GR116" s="416"/>
      <c r="GS116" s="416"/>
      <c r="GT116" s="416"/>
      <c r="GU116" s="416"/>
      <c r="GV116" s="416"/>
      <c r="GW116" s="416"/>
      <c r="GX116" s="416"/>
      <c r="GY116" s="416"/>
      <c r="GZ116" s="416"/>
      <c r="HA116" s="416"/>
      <c r="HB116" s="416"/>
      <c r="HC116" s="416"/>
      <c r="HD116" s="416"/>
      <c r="HE116" s="416"/>
      <c r="HF116" s="416"/>
      <c r="HG116" s="416"/>
      <c r="HH116" s="416"/>
      <c r="HI116" s="416"/>
      <c r="HJ116" s="416"/>
      <c r="HK116" s="416"/>
      <c r="HL116" s="416"/>
      <c r="HM116" s="416"/>
      <c r="HN116" s="416"/>
      <c r="HO116" s="416"/>
      <c r="HP116" s="416"/>
      <c r="HQ116" s="416"/>
      <c r="HR116" s="416"/>
      <c r="HS116" s="416"/>
      <c r="HT116" s="416"/>
      <c r="HU116" s="416"/>
      <c r="HV116" s="416"/>
      <c r="HW116" s="416"/>
      <c r="HX116" s="416"/>
      <c r="HY116" s="416"/>
      <c r="HZ116" s="416"/>
      <c r="IA116" s="416"/>
      <c r="IB116" s="416"/>
      <c r="IC116" s="416"/>
      <c r="ID116" s="416"/>
      <c r="IE116" s="416"/>
      <c r="IF116" s="416"/>
      <c r="IG116" s="416"/>
      <c r="IH116" s="416"/>
      <c r="II116" s="416"/>
      <c r="IJ116" s="416"/>
      <c r="IK116" s="416"/>
      <c r="IL116" s="416"/>
      <c r="IM116" s="416"/>
      <c r="IN116" s="416"/>
      <c r="IO116" s="416"/>
      <c r="IP116" s="416"/>
      <c r="IQ116" s="416"/>
      <c r="IR116" s="416"/>
      <c r="IS116" s="416"/>
      <c r="IT116" s="416"/>
      <c r="IU116" s="416"/>
      <c r="IV116" s="416"/>
      <c r="IW116" s="416"/>
    </row>
    <row r="117" customFormat="false" ht="12.75" hidden="false" customHeight="false" outlineLevel="0" collapsed="false">
      <c r="A117" s="138"/>
      <c r="B117" s="39" t="s">
        <v>379</v>
      </c>
      <c r="C117" s="39"/>
      <c r="D117" s="315"/>
      <c r="E117" s="61" t="n">
        <f aca="false">$E115</f>
        <v>-829.746260706189</v>
      </c>
      <c r="F117" s="61" t="n">
        <f aca="false">$E115+NPV(Disc,$F115:F115)</f>
        <v>-3192.40831339339</v>
      </c>
      <c r="G117" s="61" t="n">
        <f aca="false">$E115+NPV(Disc,$F115:G115)</f>
        <v>-3192.40831339339</v>
      </c>
      <c r="H117" s="61" t="n">
        <f aca="false">$E115+NPV(Disc,$F115:H115)</f>
        <v>-3103.58678182878</v>
      </c>
      <c r="I117" s="61" t="n">
        <f aca="false">$E115+NPV(Disc,$F115:I115)</f>
        <v>-3360.84810572622</v>
      </c>
      <c r="J117" s="61" t="n">
        <f aca="false">$E115+NPV(Disc,$F115:J115)</f>
        <v>-3633.68482998525</v>
      </c>
      <c r="K117" s="61" t="n">
        <f aca="false">$E115+NPV(Disc,$F115:K115)</f>
        <v>-3807.14459875854</v>
      </c>
      <c r="L117" s="61" t="n">
        <f aca="false">$E115+NPV(Disc,$F115:L115)</f>
        <v>-3958.39944525939</v>
      </c>
      <c r="M117" s="61" t="n">
        <f aca="false">$E115+NPV(Disc,$F115:M115)</f>
        <v>-4080.6801198335</v>
      </c>
      <c r="N117" s="61" t="n">
        <f aca="false">$E115+NPV(Disc,$F115:N115)</f>
        <v>-4167.92071737556</v>
      </c>
      <c r="O117" s="61" t="n">
        <f aca="false">$E115+NPV(Disc,$F115:O115)</f>
        <v>-4175.92272085798</v>
      </c>
      <c r="P117" s="61" t="n">
        <f aca="false">$E115+NPV(Disc,$F115:P115)</f>
        <v>-4128.21140115324</v>
      </c>
      <c r="Q117" s="61" t="n">
        <f aca="false">$E115+NPV(Disc,$F115:Q115)</f>
        <v>-4075.47893493782</v>
      </c>
      <c r="R117" s="61" t="n">
        <f aca="false">$E115+NPV(Disc,$F115:R115)</f>
        <v>-4032.76530391711</v>
      </c>
      <c r="S117" s="61" t="n">
        <f aca="false">$E115+NPV(Disc,$F115:S115)</f>
        <v>-3998.06268632972</v>
      </c>
      <c r="T117" s="61" t="n">
        <f aca="false">$E115+NPV(Disc,$F115:T115)</f>
        <v>-3935.76264158837</v>
      </c>
      <c r="U117" s="61" t="n">
        <f aca="false">$E115+NPV(Disc,$F115:U115)</f>
        <v>-3871.42221012691</v>
      </c>
      <c r="V117" s="61" t="n">
        <f aca="false">$E115+NPV(Disc,$F115:V115)</f>
        <v>-3798.06663199763</v>
      </c>
      <c r="W117" s="61" t="n">
        <f aca="false">$E115+NPV(Disc,$F115:W115)</f>
        <v>-3705.81938097981</v>
      </c>
      <c r="X117" s="61" t="n">
        <f aca="false">$E115+NPV(Disc,$F115:X115)</f>
        <v>-3625.37012706884</v>
      </c>
      <c r="Y117" s="61" t="n">
        <f aca="false">$E115+NPV(Disc,$F115:Y115)</f>
        <v>-3556.64808912458</v>
      </c>
      <c r="Z117" s="61" t="n">
        <f aca="false">$E115+NPV(Disc,$F115:Z115)</f>
        <v>-2917.2842601764</v>
      </c>
      <c r="AA117" s="304"/>
      <c r="AB117" s="298"/>
    </row>
    <row r="118" customFormat="false" ht="12.75" hidden="false" customHeight="false" outlineLevel="0" collapsed="false">
      <c r="A118" s="138"/>
      <c r="B118" s="39" t="s">
        <v>380</v>
      </c>
      <c r="C118" s="39"/>
      <c r="D118" s="107"/>
      <c r="E118" s="107" t="e">
        <f aca="false">IRR($E115:E115,-0.9)</f>
        <v>#N/A</v>
      </c>
      <c r="F118" s="107" t="e">
        <f aca="false">IRR($E115:F115,-0.9)</f>
        <v>#N/A</v>
      </c>
      <c r="G118" s="107" t="e">
        <f aca="false">IRR($E115:G115,-0.9)</f>
        <v>#N/A</v>
      </c>
      <c r="H118" s="107" t="n">
        <f aca="false">IRR($E115:H115,-0.9)</f>
        <v>-0.776521212793166</v>
      </c>
      <c r="I118" s="107" t="e">
        <f aca="false">IRR($E115:I115,-0.9)</f>
        <v>#N/A</v>
      </c>
      <c r="J118" s="107" t="e">
        <f aca="false">IRR($E115:J115,-0.9)</f>
        <v>#N/A</v>
      </c>
      <c r="K118" s="107" t="e">
        <f aca="false">IRR($E115:K115,-0.9)</f>
        <v>#N/A</v>
      </c>
      <c r="L118" s="107" t="e">
        <f aca="false">IRR($E115:L115,-0.9)</f>
        <v>#N/A</v>
      </c>
      <c r="M118" s="107" t="e">
        <f aca="false">IRR($E115:M115,-0.9)</f>
        <v>#N/A</v>
      </c>
      <c r="N118" s="107" t="e">
        <f aca="false">IRR($E115:N115,-0.9)</f>
        <v>#N/A</v>
      </c>
      <c r="O118" s="107" t="e">
        <f aca="false">IRR($E115:O115,-0.9)</f>
        <v>#N/A</v>
      </c>
      <c r="P118" s="107" t="e">
        <f aca="false">IRR($E115:P115,-0.9)</f>
        <v>#N/A</v>
      </c>
      <c r="Q118" s="107" t="e">
        <f aca="false">IRR($E115:Q115,-0.9)</f>
        <v>#N/A</v>
      </c>
      <c r="R118" s="107" t="e">
        <f aca="false">IRR($E115:R115,-0.9)</f>
        <v>#N/A</v>
      </c>
      <c r="S118" s="107" t="e">
        <f aca="false">IRR($E115:S115,-0.9)</f>
        <v>#N/A</v>
      </c>
      <c r="T118" s="107" t="e">
        <f aca="false">IRR($E115:T115,-0.9)</f>
        <v>#N/A</v>
      </c>
      <c r="U118" s="107" t="e">
        <f aca="false">IRR($E115:U115,-0.9)</f>
        <v>#N/A</v>
      </c>
      <c r="V118" s="107" t="e">
        <f aca="false">IRR($E115:V115,-0.9)</f>
        <v>#N/A</v>
      </c>
      <c r="W118" s="107" t="e">
        <f aca="false">IRR($E115:W115,-0.9)</f>
        <v>#N/A</v>
      </c>
      <c r="X118" s="107" t="e">
        <f aca="false">IRR($E115:X115,-0.9)</f>
        <v>#N/A</v>
      </c>
      <c r="Y118" s="107" t="e">
        <f aca="false">IRR($E115:Y115,-0.9)</f>
        <v>#N/A</v>
      </c>
      <c r="Z118" s="107" t="e">
        <f aca="false">IRR($E115:Z115,-0.9)</f>
        <v>#N/A</v>
      </c>
      <c r="AA118" s="298"/>
      <c r="AB118" s="371" t="n">
        <f aca="false">IRR(E115:Z115)</f>
        <v>0.107373497832615</v>
      </c>
    </row>
    <row r="119" customFormat="false" ht="12.75" hidden="false" customHeight="false" outlineLevel="0" collapsed="false">
      <c r="A119" s="138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298"/>
      <c r="AB119" s="298"/>
    </row>
    <row r="120" customFormat="false" ht="12.75" hidden="false" customHeight="false" outlineLevel="0" collapsed="false">
      <c r="A120" s="138"/>
      <c r="B120" s="374" t="str">
        <f aca="false">CONCATENATE(Assm!$H$70," NPV @ ",TEXT(Disc,"0.0%"))</f>
        <v>Transredes NPV @ 19.0%</v>
      </c>
      <c r="C120" s="375" t="n">
        <f aca="false">AB115</f>
        <v>-2917.2842601764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298"/>
      <c r="AB120" s="298"/>
    </row>
    <row r="121" customFormat="false" ht="12.75" hidden="false" customHeight="false" outlineLevel="0" collapsed="false">
      <c r="A121" s="420"/>
      <c r="B121" s="421" t="str">
        <f aca="false">CONCATENATE(Assm!$H$70," IRR")</f>
        <v>Transredes IRR</v>
      </c>
      <c r="C121" s="465" t="n">
        <f aca="false">AB118</f>
        <v>0.107373497832615</v>
      </c>
      <c r="D121" s="466"/>
      <c r="E121" s="466"/>
      <c r="F121" s="466"/>
      <c r="G121" s="466"/>
      <c r="H121" s="466"/>
      <c r="I121" s="466"/>
      <c r="J121" s="466"/>
      <c r="K121" s="466"/>
      <c r="L121" s="466"/>
      <c r="M121" s="466"/>
      <c r="N121" s="466"/>
      <c r="O121" s="466"/>
      <c r="P121" s="466"/>
      <c r="Q121" s="466"/>
      <c r="R121" s="466"/>
      <c r="S121" s="466"/>
      <c r="T121" s="466"/>
      <c r="U121" s="466"/>
      <c r="V121" s="466"/>
      <c r="W121" s="466"/>
      <c r="X121" s="466"/>
      <c r="Y121" s="466"/>
      <c r="Z121" s="466"/>
      <c r="AA121" s="424"/>
      <c r="AB121" s="424"/>
    </row>
    <row r="122" customFormat="false" ht="12.75" hidden="false" customHeight="false" outlineLevel="0" collapsed="false">
      <c r="A122" s="138"/>
      <c r="B122" s="38"/>
      <c r="C122" s="38"/>
      <c r="D122" s="38"/>
      <c r="E122" s="39"/>
      <c r="F122" s="467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298"/>
      <c r="AB122" s="298"/>
    </row>
    <row r="123" customFormat="false" ht="12.75" hidden="false" customHeight="false" outlineLevel="0" collapsed="false">
      <c r="A123" s="415"/>
      <c r="B123" s="39" t="s">
        <v>396</v>
      </c>
      <c r="C123" s="39"/>
      <c r="D123" s="39"/>
      <c r="E123" s="61" t="n">
        <f aca="false">E115</f>
        <v>-829.746260706189</v>
      </c>
      <c r="F123" s="61" t="n">
        <f aca="false">F115</f>
        <v>-2811.56784269777</v>
      </c>
      <c r="G123" s="61" t="n">
        <f aca="false">G115</f>
        <v>0</v>
      </c>
      <c r="H123" s="61" t="n">
        <f aca="false">H115</f>
        <v>149.678403309897</v>
      </c>
      <c r="I123" s="61" t="n">
        <f aca="false">I115</f>
        <v>-515.896220028053</v>
      </c>
      <c r="J123" s="61" t="n">
        <f aca="false">J115</f>
        <v>-651.084915490653</v>
      </c>
      <c r="K123" s="61" t="n">
        <f aca="false">K115</f>
        <v>-492.584261328499</v>
      </c>
      <c r="L123" s="61" t="n">
        <f aca="false">L115</f>
        <v>-511.137834794923</v>
      </c>
      <c r="M123" s="61" t="n">
        <f aca="false">M115</f>
        <v>-491.737712973581</v>
      </c>
      <c r="N123" s="61" t="n">
        <f aca="false">N115</f>
        <v>-417.485392153785</v>
      </c>
      <c r="O123" s="61" t="n">
        <f aca="false">O115</f>
        <v>-45.5688795197789</v>
      </c>
      <c r="P123" s="61" t="n">
        <f aca="false">P115</f>
        <v>323.324045923956</v>
      </c>
      <c r="Q123" s="61" t="n">
        <f aca="false">Q115</f>
        <v>425.247353799098</v>
      </c>
      <c r="R123" s="61" t="n">
        <f aca="false">R115</f>
        <v>409.899123650249</v>
      </c>
      <c r="S123" s="61" t="n">
        <f aca="false">S115</f>
        <v>396.296004695798</v>
      </c>
      <c r="T123" s="61" t="n">
        <f aca="false">T115</f>
        <v>846.62829614554</v>
      </c>
      <c r="U123" s="61" t="n">
        <f aca="false">U115</f>
        <v>1040.48386809829</v>
      </c>
      <c r="V123" s="61" t="n">
        <f aca="false">V115</f>
        <v>1411.66448210485</v>
      </c>
      <c r="W123" s="61" t="n">
        <f aca="false">W115</f>
        <v>2112.5098278004</v>
      </c>
      <c r="X123" s="61" t="n">
        <f aca="false">X115</f>
        <v>2192.37220409998</v>
      </c>
      <c r="Y123" s="61" t="n">
        <f aca="false">Y115</f>
        <v>2228.61607017677</v>
      </c>
      <c r="Z123" s="65" t="n">
        <f aca="false">Z115</f>
        <v>24673.6984283995</v>
      </c>
      <c r="AA123" s="304" t="n">
        <f aca="false">SUM(E123:Z123)</f>
        <v>29443.608788511</v>
      </c>
      <c r="AB123" s="304" t="n">
        <f aca="false">$E123+NPV(Disc,$F123:Z123)</f>
        <v>-2917.2842601764</v>
      </c>
    </row>
    <row r="124" customFormat="false" ht="12.75" hidden="false" customHeight="false" outlineLevel="0" collapsed="false">
      <c r="A124" s="457" t="n">
        <f aca="false">A105</f>
        <v>0.125</v>
      </c>
      <c r="B124" s="39" t="s">
        <v>397</v>
      </c>
      <c r="C124" s="39"/>
      <c r="D124" s="39"/>
      <c r="E124" s="61" t="n">
        <f aca="false">IF(E$7&lt;YEAR(Startconst),0,-HLOOKUP(DATE(E$7,12,31),Idc_Table,IDC!$AP$75)*$A124-SUM($D124:D124))</f>
        <v>-0</v>
      </c>
      <c r="F124" s="61" t="n">
        <f aca="false">IF(F$7&lt;YEAR(Startconst),0,-HLOOKUP(DATE(F$7,12,31),Idc_Table,IDC!$AP$75)*$A124-SUM($D124:E124))</f>
        <v>-3402.27726309153</v>
      </c>
      <c r="G124" s="61" t="n">
        <f aca="false">IF(G$7&lt;YEAR(Startconst),0,-HLOOKUP(DATE(G$7,12,31),Idc_Table,IDC!$AP$75)*$A124-SUM($D124:F124))</f>
        <v>-5770.77067571187</v>
      </c>
      <c r="H124" s="61" t="n">
        <f aca="false">IF(H$7&lt;YEAR(Startconst),0,-HLOOKUP(DATE(H$7,12,31),Idc_Table,IDC!$AP$75)*$A124-SUM($D124:G124))</f>
        <v>0</v>
      </c>
      <c r="I124" s="61" t="n">
        <f aca="false">IF(I$7&lt;YEAR(Startconst),0,-HLOOKUP(DATE(I$7,12,31),Idc_Table,IDC!$AP$75)*$A124-SUM($D124:H124))</f>
        <v>0</v>
      </c>
      <c r="J124" s="61" t="n">
        <f aca="false">IF(J$7&lt;YEAR(Startconst),0,-HLOOKUP(DATE(J$7,12,31),Idc_Table,IDC!$AP$75)*$A124-SUM($D124:I124))</f>
        <v>0</v>
      </c>
      <c r="K124" s="61" t="n">
        <f aca="false">IF(K$7&lt;YEAR(Startconst),0,-HLOOKUP(DATE(K$7,12,31),Idc_Table,IDC!$AP$75)*$A124-SUM($D124:J124))</f>
        <v>0</v>
      </c>
      <c r="L124" s="61" t="n">
        <f aca="false">IF(L$7&lt;YEAR(Startconst),0,-HLOOKUP(DATE(L$7,12,31),Idc_Table,IDC!$AP$75)*$A124-SUM($D124:K124))</f>
        <v>0</v>
      </c>
      <c r="M124" s="61" t="n">
        <f aca="false">IF(M$7&lt;YEAR(Startconst),0,-HLOOKUP(DATE(M$7,12,31),Idc_Table,IDC!$AP$75)*$A124-SUM($D124:L124))</f>
        <v>0</v>
      </c>
      <c r="N124" s="61" t="n">
        <f aca="false">IF(N$7&lt;YEAR(Startconst),0,-HLOOKUP(DATE(N$7,12,31),Idc_Table,IDC!$AP$75)*$A124-SUM($D124:M124))</f>
        <v>0</v>
      </c>
      <c r="O124" s="61" t="n">
        <f aca="false">IF(O$7&lt;YEAR(Startconst),0,-HLOOKUP(DATE(O$7,12,31),Idc_Table,IDC!$AP$75)*$A124-SUM($D124:N124))</f>
        <v>0</v>
      </c>
      <c r="P124" s="61" t="n">
        <f aca="false">IF(P$7&lt;YEAR(Startconst),0,-HLOOKUP(DATE(P$7,12,31),Idc_Table,IDC!$AP$75)*$A124-SUM($D124:O124))</f>
        <v>0</v>
      </c>
      <c r="Q124" s="61" t="n">
        <f aca="false">IF(Q$7&lt;YEAR(Startconst),0,-HLOOKUP(DATE(Q$7,12,31),Idc_Table,IDC!$AP$75)*$A124-SUM($D124:P124))</f>
        <v>0</v>
      </c>
      <c r="R124" s="61" t="n">
        <f aca="false">IF(R$7&lt;YEAR(Startconst),0,-HLOOKUP(DATE(R$7,12,31),Idc_Table,IDC!$AP$75)*$A124-SUM($D124:Q124))</f>
        <v>0</v>
      </c>
      <c r="S124" s="61" t="n">
        <f aca="false">IF(S$7&lt;YEAR(Startconst),0,-HLOOKUP(DATE(S$7,12,31),Idc_Table,IDC!$AP$75)*$A124-SUM($D124:R124))</f>
        <v>0</v>
      </c>
      <c r="T124" s="61" t="n">
        <f aca="false">IF(T$7&lt;YEAR(Startconst),0,-HLOOKUP(DATE(T$7,12,31),Idc_Table,IDC!$AP$75)*$A124-SUM($D124:S124))</f>
        <v>0</v>
      </c>
      <c r="U124" s="61" t="n">
        <f aca="false">IF(U$7&lt;YEAR(Startconst),0,-HLOOKUP(DATE(U$7,12,31),Idc_Table,IDC!$AP$75)*$A124-SUM($D124:T124))</f>
        <v>0</v>
      </c>
      <c r="V124" s="61" t="n">
        <f aca="false">IF(V$7&lt;YEAR(Startconst),0,-HLOOKUP(DATE(V$7,12,31),Idc_Table,IDC!$AP$75)*$A124-SUM($D124:U124))</f>
        <v>0</v>
      </c>
      <c r="W124" s="61" t="n">
        <f aca="false">IF(W$7&lt;YEAR(Startconst),0,-HLOOKUP(DATE(W$7,12,31),Idc_Table,IDC!$AP$75)*$A124-SUM($D124:V124))</f>
        <v>0</v>
      </c>
      <c r="X124" s="61" t="n">
        <f aca="false">IF(X$7&lt;YEAR(Startconst),0,-HLOOKUP(DATE(X$7,12,31),Idc_Table,IDC!$AP$75)*$A124-SUM($D124:W124))</f>
        <v>0</v>
      </c>
      <c r="Y124" s="61" t="n">
        <f aca="false">IF(Y$7&lt;YEAR(Startconst),0,-HLOOKUP(DATE(Y$7,12,31),Idc_Table,IDC!$AP$75)*$A124-SUM($D124:X124))</f>
        <v>0</v>
      </c>
      <c r="Z124" s="65" t="n">
        <f aca="false">IF(Z$7&lt;YEAR(Startconst),0,-HLOOKUP(DATE(Z$7,12,31),Idc_Table,IDC!$AP$75)*$A124-SUM($D124:Y124))</f>
        <v>0</v>
      </c>
      <c r="AA124" s="304" t="n">
        <f aca="false">SUM(E124:Z124)</f>
        <v>-9173.0479388034</v>
      </c>
      <c r="AB124" s="304" t="n">
        <f aca="false">$E124+NPV(Disc,$F124:Z124)</f>
        <v>-6934.17175255334</v>
      </c>
    </row>
    <row r="125" customFormat="false" ht="12.75" hidden="false" customHeight="false" outlineLevel="0" collapsed="false">
      <c r="A125" s="138"/>
      <c r="B125" s="39" t="s">
        <v>398</v>
      </c>
      <c r="C125" s="39"/>
      <c r="D125" s="39"/>
      <c r="E125" s="61" t="n">
        <f aca="false">IF(E$7=YEAR(Fin_Close),-SUM($D124:E124),0)</f>
        <v>0</v>
      </c>
      <c r="F125" s="61" t="n">
        <f aca="false">IF(F$7=YEAR(Fin_Close),-SUM($D124:F124),0)</f>
        <v>0</v>
      </c>
      <c r="G125" s="61" t="n">
        <f aca="false">IF(G$7=YEAR(Fin_Close),-SUM($D124:G124),0)</f>
        <v>9173.0479388034</v>
      </c>
      <c r="H125" s="61" t="n">
        <f aca="false">IF(H$7=YEAR(Fin_Close),-SUM($D124:H124),0)</f>
        <v>0</v>
      </c>
      <c r="I125" s="61" t="n">
        <f aca="false">IF(I$7=YEAR(Fin_Close),-SUM($D124:I124),0)</f>
        <v>0</v>
      </c>
      <c r="J125" s="61" t="n">
        <f aca="false">IF(J$7=YEAR(Fin_Close),-SUM($D124:J124),0)</f>
        <v>0</v>
      </c>
      <c r="K125" s="61" t="n">
        <f aca="false">IF(K$7=YEAR(Fin_Close),-SUM($D124:K124),0)</f>
        <v>0</v>
      </c>
      <c r="L125" s="61" t="n">
        <f aca="false">IF(L$7=YEAR(Fin_Close),-SUM($D124:L124),0)</f>
        <v>0</v>
      </c>
      <c r="M125" s="61" t="n">
        <f aca="false">IF(M$7=YEAR(Fin_Close),-SUM($D124:M124),0)</f>
        <v>0</v>
      </c>
      <c r="N125" s="61" t="n">
        <f aca="false">IF(N$7=YEAR(Fin_Close),-SUM($D124:N124),0)</f>
        <v>0</v>
      </c>
      <c r="O125" s="61" t="n">
        <f aca="false">IF(O$7=YEAR(Fin_Close),-SUM($D124:O124),0)</f>
        <v>0</v>
      </c>
      <c r="P125" s="61" t="n">
        <f aca="false">IF(P$7=YEAR(Fin_Close),-SUM($D124:P124),0)</f>
        <v>0</v>
      </c>
      <c r="Q125" s="61" t="n">
        <f aca="false">IF(Q$7=YEAR(Fin_Close),-SUM($D124:Q124),0)</f>
        <v>0</v>
      </c>
      <c r="R125" s="61" t="n">
        <f aca="false">IF(R$7=YEAR(Fin_Close),-SUM($D124:R124),0)</f>
        <v>0</v>
      </c>
      <c r="S125" s="61" t="n">
        <f aca="false">IF(S$7=YEAR(Fin_Close),-SUM($D124:S124),0)</f>
        <v>0</v>
      </c>
      <c r="T125" s="61" t="n">
        <f aca="false">IF(T$7=YEAR(Fin_Close),-SUM($D124:T124),0)</f>
        <v>0</v>
      </c>
      <c r="U125" s="61" t="n">
        <f aca="false">IF(U$7=YEAR(Fin_Close),-SUM($D124:U124),0)</f>
        <v>0</v>
      </c>
      <c r="V125" s="61" t="n">
        <f aca="false">IF(V$7=YEAR(Fin_Close),-SUM($D124:V124),0)</f>
        <v>0</v>
      </c>
      <c r="W125" s="61" t="n">
        <f aca="false">IF(W$7=YEAR(Fin_Close),-SUM($D124:W124),0)</f>
        <v>0</v>
      </c>
      <c r="X125" s="61" t="n">
        <f aca="false">IF(X$7=YEAR(Fin_Close),-SUM($D124:X124),0)</f>
        <v>0</v>
      </c>
      <c r="Y125" s="61" t="n">
        <f aca="false">IF(Y$7=YEAR(Fin_Close),-SUM($D124:Y124),0)</f>
        <v>0</v>
      </c>
      <c r="Z125" s="61" t="n">
        <f aca="false">IF(Z$7=YEAR(Fin_Close),-SUM($D124:Z124),0)</f>
        <v>0</v>
      </c>
      <c r="AA125" s="304" t="n">
        <f aca="false">SUM(E125:Z125)</f>
        <v>9173.0479388034</v>
      </c>
      <c r="AB125" s="304" t="n">
        <f aca="false">$E125+NPV(Disc,$F125:Z125)</f>
        <v>6477.68373617922</v>
      </c>
    </row>
    <row r="126" customFormat="false" ht="12.75" hidden="false" customHeight="false" outlineLevel="0" collapsed="false">
      <c r="A126" s="138"/>
      <c r="B126" s="39" t="s">
        <v>399</v>
      </c>
      <c r="C126" s="311" t="s">
        <v>280</v>
      </c>
      <c r="D126" s="39"/>
      <c r="E126" s="61" t="n">
        <f aca="false">IF(E$7&lt;YEAR(Startconst),0,(HLOOKUP(DATE(E$7,12,31),Idc_Table,IDC!$AP$73))*$A124-SUM($D126:D126))</f>
        <v>0</v>
      </c>
      <c r="F126" s="61" t="n">
        <f aca="false">IF(F$7&lt;YEAR(Startconst),0,(HLOOKUP(DATE(F$7,12,31),Idc_Table,IDC!$AP$73))*$A124-SUM($D126:E126))</f>
        <v>52.9957906295677</v>
      </c>
      <c r="G126" s="61" t="n">
        <f aca="false">IF(G$7&lt;YEAR(Startconst),0,(HLOOKUP(DATE(G$7,12,31),Idc_Table,IDC!$AP$73))*$A124-SUM($D126:F126))</f>
        <v>233.328879795484</v>
      </c>
      <c r="H126" s="61" t="n">
        <f aca="false">IF(H$7&lt;YEAR(Startconst),0,(HLOOKUP(DATE(H$7,12,31),Idc_Table,IDC!$AP$73))*$A124-SUM($D126:G126))</f>
        <v>0</v>
      </c>
      <c r="I126" s="61" t="n">
        <f aca="false">IF(I$7&lt;YEAR(Startconst),0,(HLOOKUP(DATE(I$7,12,31),Idc_Table,IDC!$AP$73))*$A124-SUM($D126:H126))</f>
        <v>0</v>
      </c>
      <c r="J126" s="61" t="n">
        <f aca="false">IF(J$7&lt;YEAR(Startconst),0,(HLOOKUP(DATE(J$7,12,31),Idc_Table,IDC!$AP$73))*$A124-SUM($D126:I126))</f>
        <v>0</v>
      </c>
      <c r="K126" s="61" t="n">
        <f aca="false">IF(K$7&lt;YEAR(Startconst),0,(HLOOKUP(DATE(K$7,12,31),Idc_Table,IDC!$AP$73))*$A124-SUM($D126:J126))</f>
        <v>0</v>
      </c>
      <c r="L126" s="61" t="n">
        <f aca="false">IF(L$7&lt;YEAR(Startconst),0,(HLOOKUP(DATE(L$7,12,31),Idc_Table,IDC!$AP$73))*$A124-SUM($D126:K126))</f>
        <v>0</v>
      </c>
      <c r="M126" s="61" t="n">
        <f aca="false">IF(M$7&lt;YEAR(Startconst),0,(HLOOKUP(DATE(M$7,12,31),Idc_Table,IDC!$AP$73))*$A124-SUM($D126:L126))</f>
        <v>0</v>
      </c>
      <c r="N126" s="61" t="n">
        <f aca="false">IF(N$7&lt;YEAR(Startconst),0,(HLOOKUP(DATE(N$7,12,31),Idc_Table,IDC!$AP$73))*$A124-SUM($D126:M126))</f>
        <v>0</v>
      </c>
      <c r="O126" s="61" t="n">
        <f aca="false">IF(O$7&lt;YEAR(Startconst),0,(HLOOKUP(DATE(O$7,12,31),Idc_Table,IDC!$AP$73))*$A124-SUM($D126:N126))</f>
        <v>0</v>
      </c>
      <c r="P126" s="61" t="n">
        <f aca="false">IF(P$7&lt;YEAR(Startconst),0,(HLOOKUP(DATE(P$7,12,31),Idc_Table,IDC!$AP$73))*$A124-SUM($D126:O126))</f>
        <v>0</v>
      </c>
      <c r="Q126" s="61" t="n">
        <f aca="false">IF(Q$7&lt;YEAR(Startconst),0,(HLOOKUP(DATE(Q$7,12,31),Idc_Table,IDC!$AP$73))*$A124-SUM($D126:P126))</f>
        <v>0</v>
      </c>
      <c r="R126" s="61" t="n">
        <f aca="false">IF(R$7&lt;YEAR(Startconst),0,(HLOOKUP(DATE(R$7,12,31),Idc_Table,IDC!$AP$73))*$A124-SUM($D126:Q126))</f>
        <v>0</v>
      </c>
      <c r="S126" s="61" t="n">
        <f aca="false">IF(S$7&lt;YEAR(Startconst),0,(HLOOKUP(DATE(S$7,12,31),Idc_Table,IDC!$AP$73))*$A124-SUM($D126:R126))</f>
        <v>0</v>
      </c>
      <c r="T126" s="61" t="n">
        <f aca="false">IF(T$7&lt;YEAR(Startconst),0,(HLOOKUP(DATE(T$7,12,31),Idc_Table,IDC!$AP$73))*$A124-SUM($D126:S126))</f>
        <v>0</v>
      </c>
      <c r="U126" s="61" t="n">
        <f aca="false">IF(U$7&lt;YEAR(Startconst),0,(HLOOKUP(DATE(U$7,12,31),Idc_Table,IDC!$AP$73))*$A124-SUM($D126:T126))</f>
        <v>0</v>
      </c>
      <c r="V126" s="61" t="n">
        <f aca="false">IF(V$7&lt;YEAR(Startconst),0,(HLOOKUP(DATE(V$7,12,31),Idc_Table,IDC!$AP$73))*$A124-SUM($D126:U126))</f>
        <v>0</v>
      </c>
      <c r="W126" s="61" t="n">
        <f aca="false">IF(W$7&lt;YEAR(Startconst),0,(HLOOKUP(DATE(W$7,12,31),Idc_Table,IDC!$AP$73))*$A124-SUM($D126:V126))</f>
        <v>0</v>
      </c>
      <c r="X126" s="61" t="n">
        <f aca="false">IF(X$7&lt;YEAR(Startconst),0,(HLOOKUP(DATE(X$7,12,31),Idc_Table,IDC!$AP$73))*$A124-SUM($D126:W126))</f>
        <v>0</v>
      </c>
      <c r="Y126" s="61" t="n">
        <f aca="false">IF(Y$7&lt;YEAR(Startconst),0,(HLOOKUP(DATE(Y$7,12,31),Idc_Table,IDC!$AP$73))*$A124-SUM($D126:X126))</f>
        <v>0</v>
      </c>
      <c r="Z126" s="61" t="n">
        <f aca="false">IF(Z$7&lt;YEAR(Startconst),0,(HLOOKUP(DATE(Z$7,12,31),Idc_Table,IDC!$AP$73))*$A124-SUM($D126:Y126))</f>
        <v>0</v>
      </c>
      <c r="AA126" s="304" t="n">
        <f aca="false">SUM(E126:Z126)</f>
        <v>286.324670425052</v>
      </c>
      <c r="AB126" s="304" t="n">
        <f aca="false">$E126+NPV(Disc,$F126:Z126)</f>
        <v>209.302923977593</v>
      </c>
    </row>
    <row r="127" customFormat="false" ht="12.75" hidden="false" customHeight="false" outlineLevel="0" collapsed="false">
      <c r="A127" s="138"/>
      <c r="B127" s="39" t="s">
        <v>400</v>
      </c>
      <c r="C127" s="311" t="s">
        <v>280</v>
      </c>
      <c r="D127" s="39"/>
      <c r="E127" s="61" t="n">
        <f aca="false">Wh_Int*-E126</f>
        <v>-0</v>
      </c>
      <c r="F127" s="61" t="n">
        <f aca="false">Wh_Int*-F126</f>
        <v>-7.94936859443516</v>
      </c>
      <c r="G127" s="61" t="n">
        <f aca="false">Wh_Int*-G126</f>
        <v>-34.9993319693226</v>
      </c>
      <c r="H127" s="61" t="n">
        <f aca="false">Wh_Int*-H126</f>
        <v>-0</v>
      </c>
      <c r="I127" s="61" t="n">
        <f aca="false">Wh_Int*-I126</f>
        <v>-0</v>
      </c>
      <c r="J127" s="61" t="n">
        <f aca="false">Wh_Int*-J126</f>
        <v>-0</v>
      </c>
      <c r="K127" s="61" t="n">
        <f aca="false">Wh_Int*-K126</f>
        <v>-0</v>
      </c>
      <c r="L127" s="61" t="n">
        <f aca="false">Wh_Int*-L126</f>
        <v>-0</v>
      </c>
      <c r="M127" s="61" t="n">
        <f aca="false">Wh_Int*-M126</f>
        <v>-0</v>
      </c>
      <c r="N127" s="61" t="n">
        <f aca="false">Wh_Int*-N126</f>
        <v>-0</v>
      </c>
      <c r="O127" s="61" t="n">
        <f aca="false">Wh_Int*-O126</f>
        <v>-0</v>
      </c>
      <c r="P127" s="61" t="n">
        <f aca="false">Wh_Int*-P126</f>
        <v>-0</v>
      </c>
      <c r="Q127" s="61" t="n">
        <f aca="false">Wh_Int*-Q126</f>
        <v>-0</v>
      </c>
      <c r="R127" s="61" t="n">
        <f aca="false">Wh_Int*-R126</f>
        <v>-0</v>
      </c>
      <c r="S127" s="61" t="n">
        <f aca="false">Wh_Int*-S126</f>
        <v>-0</v>
      </c>
      <c r="T127" s="61" t="n">
        <f aca="false">Wh_Int*-T126</f>
        <v>-0</v>
      </c>
      <c r="U127" s="61" t="n">
        <f aca="false">Wh_Int*-U126</f>
        <v>-0</v>
      </c>
      <c r="V127" s="61" t="n">
        <f aca="false">Wh_Int*-V126</f>
        <v>-0</v>
      </c>
      <c r="W127" s="61" t="n">
        <f aca="false">Wh_Int*-W126</f>
        <v>-0</v>
      </c>
      <c r="X127" s="61" t="n">
        <f aca="false">Wh_Int*-X126</f>
        <v>-0</v>
      </c>
      <c r="Y127" s="61" t="n">
        <f aca="false">Wh_Int*-Y126</f>
        <v>-0</v>
      </c>
      <c r="Z127" s="61" t="n">
        <f aca="false">Wh_Int*-Z126</f>
        <v>-0</v>
      </c>
      <c r="AA127" s="304" t="n">
        <f aca="false">SUM(E127:Z127)</f>
        <v>-42.9487005637578</v>
      </c>
      <c r="AB127" s="304" t="n">
        <f aca="false">$E127+NPV(Disc,$F127:Z127)</f>
        <v>-31.395438596639</v>
      </c>
    </row>
    <row r="128" customFormat="false" ht="12.75" hidden="false" customHeight="false" outlineLevel="0" collapsed="false">
      <c r="A128" s="138"/>
      <c r="B128" s="39" t="s">
        <v>417</v>
      </c>
      <c r="C128" s="39"/>
      <c r="D128" s="39"/>
      <c r="E128" s="306" t="n">
        <f aca="false">-(E126+E127)*USTax</f>
        <v>-0</v>
      </c>
      <c r="F128" s="306" t="n">
        <f aca="false">-(F126+F127)*USTax</f>
        <v>-16.6671761529991</v>
      </c>
      <c r="G128" s="306" t="n">
        <f aca="false">-(G126+G127)*USTax</f>
        <v>-73.3819326956797</v>
      </c>
      <c r="H128" s="306" t="n">
        <f aca="false">-(H126+H127)*USTax</f>
        <v>-0</v>
      </c>
      <c r="I128" s="306" t="n">
        <f aca="false">-(I126+I127)*USTax</f>
        <v>-0</v>
      </c>
      <c r="J128" s="306" t="n">
        <f aca="false">-(J126+J127)*USTax</f>
        <v>-0</v>
      </c>
      <c r="K128" s="306" t="n">
        <f aca="false">-(K126+K127)*USTax</f>
        <v>-0</v>
      </c>
      <c r="L128" s="306" t="n">
        <f aca="false">-(L126+L127)*USTax</f>
        <v>-0</v>
      </c>
      <c r="M128" s="306" t="n">
        <f aca="false">-(M126+M127)*USTax</f>
        <v>-0</v>
      </c>
      <c r="N128" s="306" t="n">
        <f aca="false">-(N126+N127)*USTax</f>
        <v>-0</v>
      </c>
      <c r="O128" s="306" t="n">
        <f aca="false">-(O126+O127)*USTax</f>
        <v>-0</v>
      </c>
      <c r="P128" s="306" t="n">
        <f aca="false">-(P126+P127)*USTax</f>
        <v>-0</v>
      </c>
      <c r="Q128" s="306" t="n">
        <f aca="false">-(Q126+Q127)*USTax</f>
        <v>-0</v>
      </c>
      <c r="R128" s="306" t="n">
        <f aca="false">-(R126+R127)*USTax</f>
        <v>-0</v>
      </c>
      <c r="S128" s="306" t="n">
        <f aca="false">-(S126+S127)*USTax</f>
        <v>-0</v>
      </c>
      <c r="T128" s="306" t="n">
        <f aca="false">-(T126+T127)*USTax</f>
        <v>-0</v>
      </c>
      <c r="U128" s="306" t="n">
        <f aca="false">-(U126+U127)*USTax</f>
        <v>-0</v>
      </c>
      <c r="V128" s="306" t="n">
        <f aca="false">-(V126+V127)*USTax</f>
        <v>-0</v>
      </c>
      <c r="W128" s="306" t="n">
        <f aca="false">-(W126+W127)*USTax</f>
        <v>-0</v>
      </c>
      <c r="X128" s="306" t="n">
        <f aca="false">-(X126+X127)*USTax</f>
        <v>-0</v>
      </c>
      <c r="Y128" s="306" t="n">
        <f aca="false">-(Y126+Y127)*USTax</f>
        <v>-0</v>
      </c>
      <c r="Z128" s="306" t="n">
        <f aca="false">-(Z126+Z127)*USTax</f>
        <v>-0</v>
      </c>
      <c r="AA128" s="307" t="n">
        <f aca="false">SUM(E128:Z128)</f>
        <v>-90.0491088486788</v>
      </c>
      <c r="AB128" s="307" t="n">
        <f aca="false">$E128+NPV(Disc,$F128:Z128)</f>
        <v>-65.825769590953</v>
      </c>
    </row>
    <row r="129" customFormat="false" ht="12.75" hidden="false" customHeight="false" outlineLevel="0" collapsed="false">
      <c r="A129" s="138"/>
      <c r="B129" s="39" t="s">
        <v>403</v>
      </c>
      <c r="C129" s="39"/>
      <c r="D129" s="39"/>
      <c r="E129" s="61" t="n">
        <f aca="false">SUM(E123:E128)</f>
        <v>-829.746260706189</v>
      </c>
      <c r="F129" s="61" t="n">
        <f aca="false">SUM(F123:F128)</f>
        <v>-6185.46585990717</v>
      </c>
      <c r="G129" s="61" t="n">
        <f aca="false">SUM(G123:G128)</f>
        <v>3527.22487822201</v>
      </c>
      <c r="H129" s="61" t="n">
        <f aca="false">SUM(H123:H128)</f>
        <v>149.678403309897</v>
      </c>
      <c r="I129" s="61" t="n">
        <f aca="false">SUM(I123:I128)</f>
        <v>-515.896220028053</v>
      </c>
      <c r="J129" s="61" t="n">
        <f aca="false">SUM(J123:J128)</f>
        <v>-651.084915490653</v>
      </c>
      <c r="K129" s="61" t="n">
        <f aca="false">SUM(K123:K128)</f>
        <v>-492.584261328499</v>
      </c>
      <c r="L129" s="61" t="n">
        <f aca="false">SUM(L123:L128)</f>
        <v>-511.137834794923</v>
      </c>
      <c r="M129" s="61" t="n">
        <f aca="false">SUM(M123:M128)</f>
        <v>-491.737712973581</v>
      </c>
      <c r="N129" s="61" t="n">
        <f aca="false">SUM(N123:N128)</f>
        <v>-417.485392153785</v>
      </c>
      <c r="O129" s="61" t="n">
        <f aca="false">SUM(O123:O128)</f>
        <v>-45.5688795197789</v>
      </c>
      <c r="P129" s="61" t="n">
        <f aca="false">SUM(P123:P128)</f>
        <v>323.324045923956</v>
      </c>
      <c r="Q129" s="61" t="n">
        <f aca="false">SUM(Q123:Q128)</f>
        <v>425.247353799098</v>
      </c>
      <c r="R129" s="61" t="n">
        <f aca="false">SUM(R123:R128)</f>
        <v>409.899123650249</v>
      </c>
      <c r="S129" s="61" t="n">
        <f aca="false">SUM(S123:S128)</f>
        <v>396.296004695798</v>
      </c>
      <c r="T129" s="61" t="n">
        <f aca="false">SUM(T123:T128)</f>
        <v>846.62829614554</v>
      </c>
      <c r="U129" s="61" t="n">
        <f aca="false">SUM(U123:U128)</f>
        <v>1040.48386809829</v>
      </c>
      <c r="V129" s="61" t="n">
        <f aca="false">SUM(V123:V128)</f>
        <v>1411.66448210485</v>
      </c>
      <c r="W129" s="61" t="n">
        <f aca="false">SUM(W123:W128)</f>
        <v>2112.5098278004</v>
      </c>
      <c r="X129" s="61" t="n">
        <f aca="false">SUM(X123:X128)</f>
        <v>2192.37220409998</v>
      </c>
      <c r="Y129" s="61" t="n">
        <f aca="false">SUM(Y123:Y128)</f>
        <v>2228.61607017677</v>
      </c>
      <c r="Z129" s="61" t="n">
        <f aca="false">SUM(Z123:Z128)</f>
        <v>24673.6984283995</v>
      </c>
      <c r="AA129" s="304" t="n">
        <f aca="false">SUM(E129:Z129)</f>
        <v>29596.9356495237</v>
      </c>
      <c r="AB129" s="304" t="n">
        <f aca="false">SUM(AB123:AB128)</f>
        <v>-3261.69056076052</v>
      </c>
    </row>
    <row r="130" customFormat="false" ht="12.75" hidden="false" customHeight="false" outlineLevel="0" collapsed="false">
      <c r="A130" s="138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298"/>
      <c r="AB130" s="298"/>
    </row>
    <row r="131" customFormat="false" ht="12.75" hidden="false" customHeight="false" outlineLevel="0" collapsed="false">
      <c r="A131" s="138"/>
      <c r="B131" s="39" t="s">
        <v>379</v>
      </c>
      <c r="C131" s="39"/>
      <c r="D131" s="39"/>
      <c r="E131" s="61" t="n">
        <f aca="false">$E129</f>
        <v>-829.746260706189</v>
      </c>
      <c r="F131" s="61" t="n">
        <f aca="false">$E129+NPV(Disc,$F129:F129)</f>
        <v>-6027.61673121641</v>
      </c>
      <c r="G131" s="61" t="n">
        <f aca="false">$E129+NPV(Disc,$F129:G129)</f>
        <v>-3536.81461397751</v>
      </c>
      <c r="H131" s="61" t="n">
        <f aca="false">$E129+NPV(Disc,$F129:H129)</f>
        <v>-3447.9930824129</v>
      </c>
      <c r="I131" s="61" t="n">
        <f aca="false">$E129+NPV(Disc,$F129:I129)</f>
        <v>-3705.25440631034</v>
      </c>
      <c r="J131" s="61" t="n">
        <f aca="false">$E129+NPV(Disc,$F129:J129)</f>
        <v>-3978.09113056937</v>
      </c>
      <c r="K131" s="61" t="n">
        <f aca="false">$E129+NPV(Disc,$F129:K129)</f>
        <v>-4151.55089934266</v>
      </c>
      <c r="L131" s="61" t="n">
        <f aca="false">$E129+NPV(Disc,$F129:L129)</f>
        <v>-4302.80574584351</v>
      </c>
      <c r="M131" s="61" t="n">
        <f aca="false">$E129+NPV(Disc,$F129:M129)</f>
        <v>-4425.08642041762</v>
      </c>
      <c r="N131" s="61" t="n">
        <f aca="false">$E129+NPV(Disc,$F129:N129)</f>
        <v>-4512.32701795968</v>
      </c>
      <c r="O131" s="61" t="n">
        <f aca="false">$E129+NPV(Disc,$F129:O129)</f>
        <v>-4520.3290214421</v>
      </c>
      <c r="P131" s="61" t="n">
        <f aca="false">$E129+NPV(Disc,$F129:P129)</f>
        <v>-4472.61770173736</v>
      </c>
      <c r="Q131" s="61" t="n">
        <f aca="false">$E129+NPV(Disc,$F129:Q129)</f>
        <v>-4419.88523552193</v>
      </c>
      <c r="R131" s="61" t="n">
        <f aca="false">$E129+NPV(Disc,$F129:R129)</f>
        <v>-4377.17160450123</v>
      </c>
      <c r="S131" s="61" t="n">
        <f aca="false">$E129+NPV(Disc,$F129:S129)</f>
        <v>-4342.46898691384</v>
      </c>
      <c r="T131" s="61" t="n">
        <f aca="false">$E129+NPV(Disc,$F129:T129)</f>
        <v>-4280.16894217249</v>
      </c>
      <c r="U131" s="61" t="n">
        <f aca="false">$E129+NPV(Disc,$F129:U129)</f>
        <v>-4215.82851071102</v>
      </c>
      <c r="V131" s="61" t="n">
        <f aca="false">$E129+NPV(Disc,$F129:V129)</f>
        <v>-4142.47293258175</v>
      </c>
      <c r="W131" s="61" t="n">
        <f aca="false">$E129+NPV(Disc,$F129:W129)</f>
        <v>-4050.22568156393</v>
      </c>
      <c r="X131" s="61" t="n">
        <f aca="false">$E129+NPV(Disc,$F129:X129)</f>
        <v>-3969.77642765296</v>
      </c>
      <c r="Y131" s="61" t="n">
        <f aca="false">$E129+NPV(Disc,$F129:Y129)</f>
        <v>-3901.0543897087</v>
      </c>
      <c r="Z131" s="61" t="n">
        <f aca="false">$E129+NPV(Disc,$F129:Z129)</f>
        <v>-3261.69056076052</v>
      </c>
      <c r="AA131" s="298"/>
      <c r="AB131" s="298"/>
    </row>
    <row r="132" customFormat="false" ht="12.75" hidden="false" customHeight="false" outlineLevel="0" collapsed="false">
      <c r="A132" s="138"/>
      <c r="B132" s="39" t="s">
        <v>380</v>
      </c>
      <c r="C132" s="39"/>
      <c r="D132" s="39"/>
      <c r="E132" s="107" t="e">
        <f aca="false">IRR($E129:E129,-0.9)</f>
        <v>#N/A</v>
      </c>
      <c r="F132" s="107" t="e">
        <f aca="false">IRR($E129:F129,-0.9)</f>
        <v>#N/A</v>
      </c>
      <c r="G132" s="107" t="n">
        <f aca="false">IRR($E129:G129,-0.9)</f>
        <v>-0.467756818169828</v>
      </c>
      <c r="H132" s="107" t="n">
        <f aca="false">IRR($E129:H129,-0.9)</f>
        <v>-0.430722009235485</v>
      </c>
      <c r="I132" s="107" t="e">
        <f aca="false">IRR($E129:I129,-0.9)</f>
        <v>#N/A</v>
      </c>
      <c r="J132" s="107" t="e">
        <f aca="false">IRR($E129:J129,-0.9)</f>
        <v>#N/A</v>
      </c>
      <c r="K132" s="107" t="e">
        <f aca="false">IRR($E129:K129,-0.9)</f>
        <v>#N/A</v>
      </c>
      <c r="L132" s="107" t="e">
        <f aca="false">IRR($E129:L129,-0.9)</f>
        <v>#N/A</v>
      </c>
      <c r="M132" s="107" t="e">
        <f aca="false">IRR($E129:M129,-0.9)</f>
        <v>#N/A</v>
      </c>
      <c r="N132" s="107" t="e">
        <f aca="false">IRR($E129:N129,-0.9)</f>
        <v>#N/A</v>
      </c>
      <c r="O132" s="107" t="e">
        <f aca="false">IRR($E129:O129,-0.9)</f>
        <v>#N/A</v>
      </c>
      <c r="P132" s="107" t="e">
        <f aca="false">IRR($E129:P129,-0.9)</f>
        <v>#N/A</v>
      </c>
      <c r="Q132" s="107" t="e">
        <f aca="false">IRR($E129:Q129,-0.9)</f>
        <v>#N/A</v>
      </c>
      <c r="R132" s="107" t="e">
        <f aca="false">IRR($E129:R129,-0.9)</f>
        <v>#N/A</v>
      </c>
      <c r="S132" s="107" t="e">
        <f aca="false">IRR($E129:S129,-0.9)</f>
        <v>#N/A</v>
      </c>
      <c r="T132" s="107" t="e">
        <f aca="false">IRR($E129:T129,-0.9)</f>
        <v>#N/A</v>
      </c>
      <c r="U132" s="107" t="e">
        <f aca="false">IRR($E129:U129,-0.9)</f>
        <v>#N/A</v>
      </c>
      <c r="V132" s="107" t="e">
        <f aca="false">IRR($E129:V129,-0.9)</f>
        <v>#N/A</v>
      </c>
      <c r="W132" s="107" t="e">
        <f aca="false">IRR($E129:W129,-0.9)</f>
        <v>#N/A</v>
      </c>
      <c r="X132" s="107" t="e">
        <f aca="false">IRR($E129:X129,-0.9)</f>
        <v>#N/A</v>
      </c>
      <c r="Y132" s="107" t="e">
        <f aca="false">IRR($E129:Y129,-0.9)</f>
        <v>#N/A</v>
      </c>
      <c r="Z132" s="107" t="e">
        <f aca="false">IRR($E129:Z129,-0.9)</f>
        <v>#N/A</v>
      </c>
      <c r="AA132" s="298"/>
      <c r="AB132" s="371" t="n">
        <f aca="false">IRR($E129:Z129)</f>
        <v>0.105195829520011</v>
      </c>
    </row>
    <row r="133" customFormat="false" ht="12.75" hidden="false" customHeight="false" outlineLevel="0" collapsed="false">
      <c r="A133" s="138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298"/>
      <c r="AB133" s="298"/>
    </row>
    <row r="134" customFormat="false" ht="12.75" hidden="false" customHeight="false" outlineLevel="0" collapsed="false">
      <c r="A134" s="138"/>
      <c r="B134" s="374" t="str">
        <f aca="false">CONCATENATE("Transredes NPV w/ Bridge Loan @ ",TEXT(Disc,"0.0%"))</f>
        <v>Transredes NPV w/ Bridge Loan @ 19.0%</v>
      </c>
      <c r="C134" s="375" t="n">
        <f aca="false">AB129</f>
        <v>-3261.69056076052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298"/>
      <c r="AB134" s="298"/>
    </row>
    <row r="135" customFormat="false" ht="12.75" hidden="false" customHeight="false" outlineLevel="0" collapsed="false">
      <c r="A135" s="420"/>
      <c r="B135" s="421" t="s">
        <v>418</v>
      </c>
      <c r="C135" s="465" t="n">
        <f aca="false">AB132</f>
        <v>0.105195829520011</v>
      </c>
      <c r="D135" s="466"/>
      <c r="E135" s="466"/>
      <c r="F135" s="466"/>
      <c r="G135" s="466"/>
      <c r="H135" s="466"/>
      <c r="I135" s="466"/>
      <c r="J135" s="466"/>
      <c r="K135" s="466"/>
      <c r="L135" s="466"/>
      <c r="M135" s="466"/>
      <c r="N135" s="466"/>
      <c r="O135" s="466"/>
      <c r="P135" s="466"/>
      <c r="Q135" s="466"/>
      <c r="R135" s="466"/>
      <c r="S135" s="466"/>
      <c r="T135" s="466"/>
      <c r="U135" s="466"/>
      <c r="V135" s="466"/>
      <c r="W135" s="466"/>
      <c r="X135" s="466"/>
      <c r="Y135" s="466"/>
      <c r="Z135" s="466"/>
      <c r="AA135" s="424"/>
      <c r="AB135" s="424"/>
    </row>
    <row r="136" customFormat="false" ht="12.75" hidden="false" customHeight="false" outlineLevel="0" collapsed="false">
      <c r="A136" s="47"/>
      <c r="B136" s="426"/>
      <c r="C136" s="426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298"/>
      <c r="AB136" s="298"/>
    </row>
    <row r="137" customFormat="false" ht="12.75" hidden="false" customHeight="false" outlineLevel="0" collapsed="false">
      <c r="A137" s="415"/>
      <c r="B137" s="39" t="s">
        <v>405</v>
      </c>
      <c r="C137" s="39"/>
      <c r="D137" s="39"/>
      <c r="E137" s="61" t="n">
        <f aca="false">E129</f>
        <v>-829.746260706189</v>
      </c>
      <c r="F137" s="61" t="n">
        <f aca="false">F129</f>
        <v>-6185.46585990717</v>
      </c>
      <c r="G137" s="61" t="n">
        <f aca="false">G129</f>
        <v>3527.22487822201</v>
      </c>
      <c r="H137" s="61" t="n">
        <f aca="false">H129</f>
        <v>149.678403309897</v>
      </c>
      <c r="I137" s="61" t="n">
        <f aca="false">I129</f>
        <v>-515.896220028053</v>
      </c>
      <c r="J137" s="61" t="n">
        <f aca="false">J129</f>
        <v>-651.084915490653</v>
      </c>
      <c r="K137" s="61" t="n">
        <f aca="false">K129</f>
        <v>-492.584261328499</v>
      </c>
      <c r="L137" s="61" t="n">
        <f aca="false">L129</f>
        <v>-511.137834794923</v>
      </c>
      <c r="M137" s="61" t="n">
        <f aca="false">M129</f>
        <v>-491.737712973581</v>
      </c>
      <c r="N137" s="61" t="n">
        <f aca="false">N129</f>
        <v>-417.485392153785</v>
      </c>
      <c r="O137" s="61" t="n">
        <f aca="false">O129</f>
        <v>-45.5688795197789</v>
      </c>
      <c r="P137" s="61" t="n">
        <f aca="false">P129</f>
        <v>323.324045923956</v>
      </c>
      <c r="Q137" s="61" t="n">
        <f aca="false">Q129</f>
        <v>425.247353799098</v>
      </c>
      <c r="R137" s="61" t="n">
        <f aca="false">R129</f>
        <v>409.899123650249</v>
      </c>
      <c r="S137" s="61" t="n">
        <f aca="false">S129</f>
        <v>396.296004695798</v>
      </c>
      <c r="T137" s="61" t="n">
        <f aca="false">T129</f>
        <v>846.62829614554</v>
      </c>
      <c r="U137" s="61" t="n">
        <f aca="false">U129</f>
        <v>1040.48386809829</v>
      </c>
      <c r="V137" s="61" t="n">
        <f aca="false">V129</f>
        <v>1411.66448210485</v>
      </c>
      <c r="W137" s="61" t="n">
        <f aca="false">W129</f>
        <v>2112.5098278004</v>
      </c>
      <c r="X137" s="61" t="n">
        <f aca="false">X129</f>
        <v>2192.37220409998</v>
      </c>
      <c r="Y137" s="61" t="n">
        <f aca="false">Y129</f>
        <v>2228.61607017677</v>
      </c>
      <c r="Z137" s="61" t="n">
        <f aca="false">Z129</f>
        <v>24673.6984283995</v>
      </c>
      <c r="AA137" s="304" t="n">
        <f aca="false">SUM(E137:Z137)</f>
        <v>29596.9356495237</v>
      </c>
      <c r="AB137" s="304" t="n">
        <f aca="false">$E137+NPV(Disc,$F137:Z137)</f>
        <v>-3261.69056076052</v>
      </c>
    </row>
    <row r="138" customFormat="false" ht="12.75" hidden="false" customHeight="false" outlineLevel="0" collapsed="false">
      <c r="A138" s="457" t="n">
        <f aca="false">A105</f>
        <v>0.125</v>
      </c>
      <c r="B138" s="39" t="s">
        <v>406</v>
      </c>
      <c r="C138" s="39"/>
      <c r="D138" s="39"/>
      <c r="E138" s="61" t="n">
        <f aca="false">IF(E$7&lt;YEAR(Startconst),0,-HLOOKUP(DATE(E$7,12,31),Idc_Table,IDC!$AP$46)*$A138-SUM($D138:D138))</f>
        <v>-0</v>
      </c>
      <c r="F138" s="61" t="n">
        <f aca="false">IF(F$7&lt;YEAR(Startconst),0,-HLOOKUP(DATE(F$7,12,31),Idc_Table,IDC!$AP$46)*$A138-SUM($D138:E138))</f>
        <v>-0</v>
      </c>
      <c r="G138" s="61" t="n">
        <f aca="false">IF(G$7&lt;YEAR(Startconst),0,-HLOOKUP(DATE(G$7,12,31),Idc_Table,IDC!$AP$46)*$A138-SUM($D138:F138))</f>
        <v>-2633.82794608968</v>
      </c>
      <c r="H138" s="61" t="n">
        <f aca="false">IF(H$7&lt;YEAR(Startconst),0,-HLOOKUP(DATE(H$7,12,31),Idc_Table,IDC!$AP$46)*$A138-SUM($D138:G138))</f>
        <v>-52.7581826909777</v>
      </c>
      <c r="I138" s="61" t="n">
        <f aca="false">IF(I$7&lt;YEAR(Startconst),0,-HLOOKUP(DATE(I$7,12,31),Idc_Table,IDC!$AP$46)*$A138-SUM($D138:H138))</f>
        <v>0</v>
      </c>
      <c r="J138" s="61" t="n">
        <f aca="false">IF(J$7&lt;YEAR(Startconst),0,-HLOOKUP(DATE(J$7,12,31),Idc_Table,IDC!$AP$46)*$A138-SUM($D138:I138))</f>
        <v>0</v>
      </c>
      <c r="K138" s="61" t="n">
        <f aca="false">IF(K$7&lt;YEAR(Startconst),0,-HLOOKUP(DATE(K$7,12,31),Idc_Table,IDC!$AP$46)*$A138-SUM($D138:J138))</f>
        <v>0</v>
      </c>
      <c r="L138" s="61" t="n">
        <f aca="false">IF(L$7&lt;YEAR(Startconst),0,-HLOOKUP(DATE(L$7,12,31),Idc_Table,IDC!$AP$46)*$A138-SUM($D138:K138))</f>
        <v>0</v>
      </c>
      <c r="M138" s="61" t="n">
        <f aca="false">IF(M$7&lt;YEAR(Startconst),0,-HLOOKUP(DATE(M$7,12,31),Idc_Table,IDC!$AP$46)*$A138-SUM($D138:L138))</f>
        <v>0</v>
      </c>
      <c r="N138" s="61" t="n">
        <f aca="false">IF(N$7&lt;YEAR(Startconst),0,-HLOOKUP(DATE(N$7,12,31),Idc_Table,IDC!$AP$46)*$A138-SUM($D138:M138))</f>
        <v>0</v>
      </c>
      <c r="O138" s="61" t="n">
        <f aca="false">IF(O$7&lt;YEAR(Startconst),0,-HLOOKUP(DATE(O$7,12,31),Idc_Table,IDC!$AP$46)*$A138-SUM($D138:N138))</f>
        <v>0</v>
      </c>
      <c r="P138" s="61" t="n">
        <f aca="false">IF(P$7&lt;YEAR(Startconst),0,-HLOOKUP(DATE(P$7,12,31),Idc_Table,IDC!$AP$46)*$A138-SUM($D138:O138))</f>
        <v>0</v>
      </c>
      <c r="Q138" s="61" t="n">
        <f aca="false">IF(Q$7&lt;YEAR(Startconst),0,-HLOOKUP(DATE(Q$7,12,31),Idc_Table,IDC!$AP$46)*$A138-SUM($D138:P138))</f>
        <v>0</v>
      </c>
      <c r="R138" s="61" t="n">
        <f aca="false">IF(R$7&lt;YEAR(Startconst),0,-HLOOKUP(DATE(R$7,12,31),Idc_Table,IDC!$AP$46)*$A138-SUM($D138:Q138))</f>
        <v>0</v>
      </c>
      <c r="S138" s="61" t="n">
        <f aca="false">IF(S$7&lt;YEAR(Startconst),0,-HLOOKUP(DATE(S$7,12,31),Idc_Table,IDC!$AP$46)*$A138-SUM($D138:R138))</f>
        <v>0</v>
      </c>
      <c r="T138" s="61" t="n">
        <f aca="false">IF(T$7&lt;YEAR(Startconst),0,-HLOOKUP(DATE(T$7,12,31),Idc_Table,IDC!$AP$46)*$A138-SUM($D138:S138))</f>
        <v>0</v>
      </c>
      <c r="U138" s="61" t="n">
        <f aca="false">IF(U$7&lt;YEAR(Startconst),0,-HLOOKUP(DATE(U$7,12,31),Idc_Table,IDC!$AP$46)*$A138-SUM($D138:T138))</f>
        <v>0</v>
      </c>
      <c r="V138" s="61" t="n">
        <f aca="false">IF(V$7&lt;YEAR(Startconst),0,-HLOOKUP(DATE(V$7,12,31),Idc_Table,IDC!$AP$46)*$A138-SUM($D138:U138))</f>
        <v>0</v>
      </c>
      <c r="W138" s="61" t="n">
        <f aca="false">IF(W$7&lt;YEAR(Startconst),0,-HLOOKUP(DATE(W$7,12,31),Idc_Table,IDC!$AP$46)*$A138-SUM($D138:V138))</f>
        <v>0</v>
      </c>
      <c r="X138" s="61" t="n">
        <f aca="false">IF(X$7&lt;YEAR(Startconst),0,-HLOOKUP(DATE(X$7,12,31),Idc_Table,IDC!$AP$46)*$A138-SUM($D138:W138))</f>
        <v>0</v>
      </c>
      <c r="Y138" s="61" t="n">
        <f aca="false">IF(Y$7&lt;YEAR(Startconst),0,-HLOOKUP(DATE(Y$7,12,31),Idc_Table,IDC!$AP$46)*$A138-SUM($D138:X138))</f>
        <v>0</v>
      </c>
      <c r="Z138" s="61" t="n">
        <f aca="false">IF(Z$7&lt;YEAR(Startconst),0,-HLOOKUP(DATE(Z$7,12,31),Idc_Table,IDC!$AP$46)*$A138-SUM($D138:Y138))</f>
        <v>0</v>
      </c>
      <c r="AA138" s="304" t="n">
        <f aca="false">SUM(D138:Z138)</f>
        <v>-2686.58612878066</v>
      </c>
      <c r="AB138" s="304" t="n">
        <f aca="false">$E138+NPV(Disc,$F138:Z138)</f>
        <v>-1891.22417441778</v>
      </c>
    </row>
    <row r="139" customFormat="false" ht="12.75" hidden="false" customHeight="false" outlineLevel="0" collapsed="false">
      <c r="A139" s="138"/>
      <c r="B139" s="39" t="s">
        <v>407</v>
      </c>
      <c r="C139" s="39"/>
      <c r="D139" s="39"/>
      <c r="E139" s="61" t="n">
        <f aca="false">IF(E$7&lt;YEAR(Startops1),0,-HLOOKUP(E$7,CF_Table,CF!$AB$71)*$A138)</f>
        <v>0</v>
      </c>
      <c r="F139" s="61" t="n">
        <f aca="false">IF(F$7&lt;YEAR(Startops1),0,-HLOOKUP(F$7,CF_Table,CF!$AB$71)*$A138)</f>
        <v>0</v>
      </c>
      <c r="G139" s="61" t="n">
        <f aca="false">IF(G$7&lt;YEAR(Startops1),0,-HLOOKUP(G$7,CF_Table,CF!$AB$71)*$A138)</f>
        <v>0</v>
      </c>
      <c r="H139" s="61" t="n">
        <f aca="false">IF(H$7&lt;YEAR(Startops1),0,-HLOOKUP(H$7,CF_Table,CF!$AB$71)*$A138)</f>
        <v>0</v>
      </c>
      <c r="I139" s="61" t="n">
        <f aca="false">IF(I$7&lt;YEAR(Startops1),0,-HLOOKUP(I$7,CF_Table,CF!$AB$71)*$A138)</f>
        <v>120.33847104568</v>
      </c>
      <c r="J139" s="61" t="n">
        <f aca="false">IF(J$7&lt;YEAR(Startops1),0,-HLOOKUP(J$7,CF_Table,CF!$AB$71)*$A138)</f>
        <v>136.490902321787</v>
      </c>
      <c r="K139" s="61" t="n">
        <f aca="false">IF(K$7&lt;YEAR(Startops1),0,-HLOOKUP(K$7,CF_Table,CF!$AB$71)*$A138)</f>
        <v>154.811393685928</v>
      </c>
      <c r="L139" s="61" t="n">
        <f aca="false">IF(L$7&lt;YEAR(Startops1),0,-HLOOKUP(L$7,CF_Table,CF!$AB$71)*$A138)</f>
        <v>175.590953003422</v>
      </c>
      <c r="M139" s="61" t="n">
        <f aca="false">IF(M$7&lt;YEAR(Startops1),0,-HLOOKUP(M$7,CF_Table,CF!$AB$71)*$A138)</f>
        <v>199.159648670306</v>
      </c>
      <c r="N139" s="61" t="n">
        <f aca="false">IF(N$7&lt;YEAR(Startops1),0,-HLOOKUP(N$7,CF_Table,CF!$AB$71)*$A138)</f>
        <v>225.891852513078</v>
      </c>
      <c r="O139" s="61" t="n">
        <f aca="false">IF(O$7&lt;YEAR(Startops1),0,-HLOOKUP(O$7,CF_Table,CF!$AB$71)*$A138)</f>
        <v>256.212186416646</v>
      </c>
      <c r="P139" s="61" t="n">
        <f aca="false">IF(P$7&lt;YEAR(Startops1),0,-HLOOKUP(P$7,CF_Table,CF!$AB$71)*$A138)</f>
        <v>290.602267138421</v>
      </c>
      <c r="Q139" s="61" t="n">
        <f aca="false">IF(Q$7&lt;YEAR(Startops1),0,-HLOOKUP(Q$7,CF_Table,CF!$AB$71)*$A138)</f>
        <v>329.608356445075</v>
      </c>
      <c r="R139" s="61" t="n">
        <f aca="false">IF(R$7&lt;YEAR(Startops1),0,-HLOOKUP(R$7,CF_Table,CF!$AB$71)*$A138)</f>
        <v>373.850038088915</v>
      </c>
      <c r="S139" s="61" t="n">
        <f aca="false">IF(S$7&lt;YEAR(Startops1),0,-HLOOKUP(S$7,CF_Table,CF!$AB$71)*$A138)</f>
        <v>424.0300594514</v>
      </c>
      <c r="T139" s="61" t="n">
        <f aca="false">IF(T$7&lt;YEAR(Startops1),0,-HLOOKUP(T$7,CF_Table,CF!$AB$71)*$A138)</f>
        <v>0</v>
      </c>
      <c r="U139" s="61" t="n">
        <f aca="false">IF(U$7&lt;YEAR(Startops1),0,-HLOOKUP(U$7,CF_Table,CF!$AB$71)*$A138)</f>
        <v>0</v>
      </c>
      <c r="V139" s="61" t="n">
        <f aca="false">IF(V$7&lt;YEAR(Startops1),0,-HLOOKUP(V$7,CF_Table,CF!$AB$71)*$A138)</f>
        <v>0</v>
      </c>
      <c r="W139" s="61" t="n">
        <f aca="false">IF(W$7&lt;YEAR(Startops1),0,-HLOOKUP(W$7,CF_Table,CF!$AB$71)*$A138)</f>
        <v>0</v>
      </c>
      <c r="X139" s="61" t="n">
        <f aca="false">IF(X$7&lt;YEAR(Startops1),0,-HLOOKUP(X$7,CF_Table,CF!$AB$71)*$A138)</f>
        <v>0</v>
      </c>
      <c r="Y139" s="61" t="n">
        <f aca="false">IF(Y$7&lt;YEAR(Startops1),0,-HLOOKUP(Y$7,CF_Table,CF!$AB$71)*$A138)</f>
        <v>0</v>
      </c>
      <c r="Z139" s="61" t="n">
        <f aca="false">IF(Z$7&lt;YEAR(Startops1),0,-HLOOKUP(Z$7,CF_Table,CF!$AB$71)*$A138)</f>
        <v>0</v>
      </c>
      <c r="AA139" s="304" t="n">
        <f aca="false">SUM(D139:Z139)</f>
        <v>2686.58612878066</v>
      </c>
      <c r="AB139" s="304" t="n">
        <f aca="false">$E139+NPV(Disc,$F139:Z139)</f>
        <v>525.246024585063</v>
      </c>
    </row>
    <row r="140" customFormat="false" ht="12.75" hidden="false" customHeight="false" outlineLevel="0" collapsed="false">
      <c r="A140" s="138"/>
      <c r="B140" s="39" t="s">
        <v>408</v>
      </c>
      <c r="C140" s="311" t="s">
        <v>280</v>
      </c>
      <c r="D140" s="39"/>
      <c r="E140" s="61" t="n">
        <f aca="false">IF(E$7&lt;YEAR(Startops1),0,-HLOOKUP(E$7,CF_Table,CF!$AB$48)*$A138)</f>
        <v>0</v>
      </c>
      <c r="F140" s="61" t="n">
        <f aca="false">IF(F$7&lt;YEAR(Startops1),0,-HLOOKUP(F$7,CF_Table,CF!$AB$48)*$A138)</f>
        <v>0</v>
      </c>
      <c r="G140" s="61" t="n">
        <f aca="false">IF(G$7&lt;YEAR(Startops1),0,-HLOOKUP(G$7,CF_Table,CF!$AB$48)*$A138)</f>
        <v>0</v>
      </c>
      <c r="H140" s="61" t="n">
        <f aca="false">IF(H$7&lt;YEAR(Startops1),0,-HLOOKUP(H$7,CF_Table,CF!$AB$48)*$A138)</f>
        <v>145.523415308952</v>
      </c>
      <c r="I140" s="61" t="n">
        <f aca="false">IF(I$7&lt;YEAR(Startops1),0,-HLOOKUP(I$7,CF_Table,CF!$AB$48)*$A138)</f>
        <v>345.468302979757</v>
      </c>
      <c r="J140" s="61" t="n">
        <f aca="false">IF(J$7&lt;YEAR(Startops1),0,-HLOOKUP(J$7,CF_Table,CF!$AB$48)*$A138)</f>
        <v>329.315871703651</v>
      </c>
      <c r="K140" s="61" t="n">
        <f aca="false">IF(K$7&lt;YEAR(Startops1),0,-HLOOKUP(K$7,CF_Table,CF!$AB$48)*$A138)</f>
        <v>310.995380339509</v>
      </c>
      <c r="L140" s="61" t="n">
        <f aca="false">IF(L$7&lt;YEAR(Startops1),0,-HLOOKUP(L$7,CF_Table,CF!$AB$48)*$A138)</f>
        <v>290.215821022015</v>
      </c>
      <c r="M140" s="61" t="n">
        <f aca="false">IF(M$7&lt;YEAR(Startops1),0,-HLOOKUP(M$7,CF_Table,CF!$AB$48)*$A138)</f>
        <v>266.647125355131</v>
      </c>
      <c r="N140" s="61" t="n">
        <f aca="false">IF(N$7&lt;YEAR(Startops1),0,-HLOOKUP(N$7,CF_Table,CF!$AB$48)*$A138)</f>
        <v>239.914921512359</v>
      </c>
      <c r="O140" s="61" t="n">
        <f aca="false">IF(O$7&lt;YEAR(Startops1),0,-HLOOKUP(O$7,CF_Table,CF!$AB$48)*$A138)</f>
        <v>209.594587608791</v>
      </c>
      <c r="P140" s="61" t="n">
        <f aca="false">IF(P$7&lt;YEAR(Startops1),0,-HLOOKUP(P$7,CF_Table,CF!$AB$48)*$A138)</f>
        <v>175.204506887017</v>
      </c>
      <c r="Q140" s="61" t="n">
        <f aca="false">IF(Q$7&lt;YEAR(Startops1),0,-HLOOKUP(Q$7,CF_Table,CF!$AB$48)*$A138)</f>
        <v>136.198417580362</v>
      </c>
      <c r="R140" s="61" t="n">
        <f aca="false">IF(R$7&lt;YEAR(Startops1),0,-HLOOKUP(R$7,CF_Table,CF!$AB$48)*$A138)</f>
        <v>91.9567359365221</v>
      </c>
      <c r="S140" s="61" t="n">
        <f aca="false">IF(S$7&lt;YEAR(Startops1),0,-HLOOKUP(S$7,CF_Table,CF!$AB$48)*$A138)</f>
        <v>41.7767145740375</v>
      </c>
      <c r="T140" s="61" t="n">
        <f aca="false">IF(T$7&lt;YEAR(Startops1),0,-HLOOKUP(T$7,CF_Table,CF!$AB$48)*$A138)</f>
        <v>0</v>
      </c>
      <c r="U140" s="61" t="n">
        <f aca="false">IF(U$7&lt;YEAR(Startops1),0,-HLOOKUP(U$7,CF_Table,CF!$AB$48)*$A138)</f>
        <v>0</v>
      </c>
      <c r="V140" s="61" t="n">
        <f aca="false">IF(V$7&lt;YEAR(Startops1),0,-HLOOKUP(V$7,CF_Table,CF!$AB$48)*$A138)</f>
        <v>0</v>
      </c>
      <c r="W140" s="61" t="n">
        <f aca="false">IF(W$7&lt;YEAR(Startops1),0,-HLOOKUP(W$7,CF_Table,CF!$AB$48)*$A138)</f>
        <v>0</v>
      </c>
      <c r="X140" s="61" t="n">
        <f aca="false">IF(X$7&lt;YEAR(Startops1),0,-HLOOKUP(X$7,CF_Table,CF!$AB$48)*$A138)</f>
        <v>0</v>
      </c>
      <c r="Y140" s="61" t="n">
        <f aca="false">IF(Y$7&lt;YEAR(Startops1),0,-HLOOKUP(Y$7,CF_Table,CF!$AB$48)*$A138)</f>
        <v>0</v>
      </c>
      <c r="Z140" s="61" t="n">
        <f aca="false">IF(Z$7&lt;YEAR(Startops1),0,-HLOOKUP(Z$7,CF_Table,CF!$AB$48)*$A138)</f>
        <v>0</v>
      </c>
      <c r="AA140" s="304" t="n">
        <f aca="false">SUM(D140:Z140)</f>
        <v>2582.81180080811</v>
      </c>
      <c r="AB140" s="304" t="n">
        <f aca="false">$E140+NPV(Disc,$F140:Z140)</f>
        <v>801.255186812505</v>
      </c>
    </row>
    <row r="141" customFormat="false" ht="12.75" hidden="false" customHeight="false" outlineLevel="0" collapsed="false">
      <c r="A141" s="138"/>
      <c r="B141" s="39" t="s">
        <v>419</v>
      </c>
      <c r="C141" s="311" t="s">
        <v>280</v>
      </c>
      <c r="D141" s="39"/>
      <c r="E141" s="61" t="n">
        <f aca="false">Wh_Int*-E140</f>
        <v>-0</v>
      </c>
      <c r="F141" s="61" t="n">
        <f aca="false">Wh_Int*-F140</f>
        <v>-0</v>
      </c>
      <c r="G141" s="61" t="n">
        <f aca="false">Wh_Int*-G140</f>
        <v>-0</v>
      </c>
      <c r="H141" s="61" t="n">
        <f aca="false">Wh_Int*-H140</f>
        <v>-21.8285122963429</v>
      </c>
      <c r="I141" s="61" t="n">
        <f aca="false">Wh_Int*-I140</f>
        <v>-51.8202454469636</v>
      </c>
      <c r="J141" s="61" t="n">
        <f aca="false">Wh_Int*-J140</f>
        <v>-49.3973807555476</v>
      </c>
      <c r="K141" s="61" t="n">
        <f aca="false">Wh_Int*-K140</f>
        <v>-46.6493070509263</v>
      </c>
      <c r="L141" s="61" t="n">
        <f aca="false">Wh_Int*-L140</f>
        <v>-43.5323731533023</v>
      </c>
      <c r="M141" s="61" t="n">
        <f aca="false">Wh_Int*-M140</f>
        <v>-39.9970688032697</v>
      </c>
      <c r="N141" s="61" t="n">
        <f aca="false">Wh_Int*-N140</f>
        <v>-35.9872382268539</v>
      </c>
      <c r="O141" s="61" t="n">
        <f aca="false">Wh_Int*-O140</f>
        <v>-31.4391881413187</v>
      </c>
      <c r="P141" s="61" t="n">
        <f aca="false">Wh_Int*-P140</f>
        <v>-26.2806760330525</v>
      </c>
      <c r="Q141" s="61" t="n">
        <f aca="false">Wh_Int*-Q140</f>
        <v>-20.4297626370544</v>
      </c>
      <c r="R141" s="61" t="n">
        <f aca="false">Wh_Int*-R140</f>
        <v>-13.7935103904783</v>
      </c>
      <c r="S141" s="61" t="n">
        <f aca="false">Wh_Int*-S140</f>
        <v>-6.26650718610562</v>
      </c>
      <c r="T141" s="61" t="n">
        <f aca="false">Wh_Int*-T140</f>
        <v>-0</v>
      </c>
      <c r="U141" s="61" t="n">
        <f aca="false">Wh_Int*-U140</f>
        <v>-0</v>
      </c>
      <c r="V141" s="61" t="n">
        <f aca="false">Wh_Int*-V140</f>
        <v>-0</v>
      </c>
      <c r="W141" s="61" t="n">
        <f aca="false">Wh_Int*-W140</f>
        <v>-0</v>
      </c>
      <c r="X141" s="61" t="n">
        <f aca="false">Wh_Int*-X140</f>
        <v>-0</v>
      </c>
      <c r="Y141" s="61" t="n">
        <f aca="false">Wh_Int*-Y140</f>
        <v>-0</v>
      </c>
      <c r="Z141" s="61" t="n">
        <f aca="false">Wh_Int*-Z140</f>
        <v>-0</v>
      </c>
      <c r="AA141" s="304" t="n">
        <f aca="false">SUM(D141:Z141)</f>
        <v>-387.421770121216</v>
      </c>
      <c r="AB141" s="304" t="n">
        <f aca="false">$E141+NPV(Disc,$F141:Z141)</f>
        <v>-120.188278021876</v>
      </c>
    </row>
    <row r="142" customFormat="false" ht="12.75" hidden="false" customHeight="false" outlineLevel="0" collapsed="false">
      <c r="A142" s="138"/>
      <c r="B142" s="39" t="s">
        <v>417</v>
      </c>
      <c r="C142" s="39"/>
      <c r="D142" s="39"/>
      <c r="E142" s="306" t="n">
        <f aca="false">-(E140+E141)*USTax</f>
        <v>-0</v>
      </c>
      <c r="F142" s="306" t="n">
        <f aca="false">-(F140+F141)*USTax</f>
        <v>-0</v>
      </c>
      <c r="G142" s="306" t="n">
        <f aca="false">-(G140+G141)*USTax</f>
        <v>-0</v>
      </c>
      <c r="H142" s="306" t="n">
        <f aca="false">-(H140+H141)*USTax</f>
        <v>-45.7671141146655</v>
      </c>
      <c r="I142" s="306" t="n">
        <f aca="false">-(I140+I141)*USTax</f>
        <v>-108.649781287134</v>
      </c>
      <c r="J142" s="306" t="n">
        <f aca="false">-(J140+J141)*USTax</f>
        <v>-103.569841650798</v>
      </c>
      <c r="K142" s="306" t="n">
        <f aca="false">-(K140+K141)*USTax</f>
        <v>-97.8080471167756</v>
      </c>
      <c r="L142" s="306" t="n">
        <f aca="false">-(L140+L141)*USTax</f>
        <v>-91.2728757114238</v>
      </c>
      <c r="M142" s="306" t="n">
        <f aca="false">-(M140+M141)*USTax</f>
        <v>-83.8605209241887</v>
      </c>
      <c r="N142" s="306" t="n">
        <f aca="false">-(N140+N141)*USTax</f>
        <v>-75.4532428156369</v>
      </c>
      <c r="O142" s="306" t="n">
        <f aca="false">-(O140+O141)*USTax</f>
        <v>-65.9174978029648</v>
      </c>
      <c r="P142" s="306" t="n">
        <f aca="false">-(P140+P141)*USTax</f>
        <v>-55.1018174159668</v>
      </c>
      <c r="Q142" s="306" t="n">
        <f aca="false">-(Q140+Q141)*USTax</f>
        <v>-42.834402329024</v>
      </c>
      <c r="R142" s="306" t="n">
        <f aca="false">-(R140+R141)*USTax</f>
        <v>-28.9203934520362</v>
      </c>
      <c r="S142" s="306" t="n">
        <f aca="false">-(S140+S141)*USTax</f>
        <v>-13.1387767335348</v>
      </c>
      <c r="T142" s="306" t="n">
        <f aca="false">-(T140+T141)*USTax</f>
        <v>-0</v>
      </c>
      <c r="U142" s="306" t="n">
        <f aca="false">-(U140+U141)*USTax</f>
        <v>-0</v>
      </c>
      <c r="V142" s="306" t="n">
        <f aca="false">-(V140+V141)*USTax</f>
        <v>-0</v>
      </c>
      <c r="W142" s="306" t="n">
        <f aca="false">-(W140+W141)*USTax</f>
        <v>-0</v>
      </c>
      <c r="X142" s="306" t="n">
        <f aca="false">-(X140+X141)*USTax</f>
        <v>-0</v>
      </c>
      <c r="Y142" s="306" t="n">
        <f aca="false">-(Y140+Y141)*USTax</f>
        <v>-0</v>
      </c>
      <c r="Z142" s="306" t="n">
        <f aca="false">-(Z140+Z141)*USTax</f>
        <v>-0</v>
      </c>
      <c r="AA142" s="307" t="n">
        <f aca="false">SUM(E142:Z142)</f>
        <v>-812.294311354149</v>
      </c>
      <c r="AB142" s="307" t="n">
        <f aca="false">$E142+NPV(Disc,$F142:Z142)</f>
        <v>-251.994756252533</v>
      </c>
    </row>
    <row r="143" customFormat="false" ht="12.75" hidden="false" customHeight="false" outlineLevel="0" collapsed="false">
      <c r="A143" s="138"/>
      <c r="B143" s="39" t="s">
        <v>411</v>
      </c>
      <c r="C143" s="39"/>
      <c r="D143" s="39"/>
      <c r="E143" s="61" t="n">
        <f aca="false">SUM(E137:E142)</f>
        <v>-829.746260706189</v>
      </c>
      <c r="F143" s="61" t="n">
        <f aca="false">SUM(F137:F142)</f>
        <v>-6185.46585990717</v>
      </c>
      <c r="G143" s="61" t="n">
        <f aca="false">SUM(G137:G142)</f>
        <v>893.396932132327</v>
      </c>
      <c r="H143" s="61" t="n">
        <f aca="false">SUM(H137:H142)</f>
        <v>174.848009516863</v>
      </c>
      <c r="I143" s="61" t="n">
        <f aca="false">SUM(I137:I142)</f>
        <v>-210.559472736713</v>
      </c>
      <c r="J143" s="61" t="n">
        <f aca="false">SUM(J137:J142)</f>
        <v>-338.245363871561</v>
      </c>
      <c r="K143" s="61" t="n">
        <f aca="false">SUM(K137:K142)</f>
        <v>-171.234841470764</v>
      </c>
      <c r="L143" s="61" t="n">
        <f aca="false">SUM(L137:L142)</f>
        <v>-180.136309634212</v>
      </c>
      <c r="M143" s="61" t="n">
        <f aca="false">SUM(M137:M142)</f>
        <v>-149.788528675602</v>
      </c>
      <c r="N143" s="61" t="n">
        <f aca="false">SUM(N137:N142)</f>
        <v>-63.1190991708383</v>
      </c>
      <c r="O143" s="61" t="n">
        <f aca="false">SUM(O137:O142)</f>
        <v>322.881208561375</v>
      </c>
      <c r="P143" s="61" t="n">
        <f aca="false">SUM(P137:P142)</f>
        <v>707.748326500374</v>
      </c>
      <c r="Q143" s="61" t="n">
        <f aca="false">SUM(Q137:Q142)</f>
        <v>827.789962858457</v>
      </c>
      <c r="R143" s="61" t="n">
        <f aca="false">SUM(R137:R142)</f>
        <v>832.991993833172</v>
      </c>
      <c r="S143" s="61" t="n">
        <f aca="false">SUM(S137:S142)</f>
        <v>842.697494801595</v>
      </c>
      <c r="T143" s="61" t="n">
        <f aca="false">SUM(T137:T142)</f>
        <v>846.62829614554</v>
      </c>
      <c r="U143" s="61" t="n">
        <f aca="false">SUM(U137:U142)</f>
        <v>1040.48386809829</v>
      </c>
      <c r="V143" s="61" t="n">
        <f aca="false">SUM(V137:V142)</f>
        <v>1411.66448210485</v>
      </c>
      <c r="W143" s="61" t="n">
        <f aca="false">SUM(W137:W142)</f>
        <v>2112.5098278004</v>
      </c>
      <c r="X143" s="61" t="n">
        <f aca="false">SUM(X137:X142)</f>
        <v>2192.37220409998</v>
      </c>
      <c r="Y143" s="61" t="n">
        <f aca="false">SUM(Y137:Y142)</f>
        <v>2228.61607017677</v>
      </c>
      <c r="Z143" s="61" t="n">
        <f aca="false">SUM(Z137:Z142)</f>
        <v>24673.6984283995</v>
      </c>
      <c r="AA143" s="304" t="n">
        <f aca="false">SUM(E143:Z143)</f>
        <v>30980.0313688564</v>
      </c>
      <c r="AB143" s="304" t="n">
        <f aca="false">SUM(AB137:AB142)</f>
        <v>-4198.59655805514</v>
      </c>
    </row>
    <row r="144" customFormat="false" ht="12.75" hidden="false" customHeight="false" outlineLevel="0" collapsed="false">
      <c r="A144" s="138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298"/>
      <c r="AB144" s="298"/>
    </row>
    <row r="145" customFormat="false" ht="12.75" hidden="false" customHeight="false" outlineLevel="0" collapsed="false">
      <c r="A145" s="138"/>
      <c r="B145" s="39" t="s">
        <v>379</v>
      </c>
      <c r="C145" s="39"/>
      <c r="D145" s="39"/>
      <c r="E145" s="61" t="n">
        <f aca="false">$E143</f>
        <v>-829.746260706189</v>
      </c>
      <c r="F145" s="61" t="n">
        <f aca="false">$E143+NPV(Disc,$F143:F143)</f>
        <v>-6027.61673121641</v>
      </c>
      <c r="G145" s="61" t="n">
        <f aca="false">$E143+NPV(Disc,$F143:G143)</f>
        <v>-5396.73124845932</v>
      </c>
      <c r="H145" s="61" t="n">
        <f aca="false">$E143+NPV(Disc,$F143:H143)</f>
        <v>-5292.97367453492</v>
      </c>
      <c r="I145" s="61" t="n">
        <f aca="false">$E143+NPV(Disc,$F143:I143)</f>
        <v>-5397.97310390164</v>
      </c>
      <c r="J145" s="61" t="n">
        <f aca="false">$E143+NPV(Disc,$F143:J143)</f>
        <v>-5539.71461085235</v>
      </c>
      <c r="K145" s="61" t="n">
        <f aca="false">$E143+NPV(Disc,$F143:K143)</f>
        <v>-5600.01364665049</v>
      </c>
      <c r="L145" s="61" t="n">
        <f aca="false">$E143+NPV(Disc,$F143:L143)</f>
        <v>-5653.31920927605</v>
      </c>
      <c r="M145" s="61" t="n">
        <f aca="false">$E143+NPV(Disc,$F143:M143)</f>
        <v>-5690.56720113569</v>
      </c>
      <c r="N145" s="61" t="n">
        <f aca="false">$E143+NPV(Disc,$F143:N143)</f>
        <v>-5703.75699898603</v>
      </c>
      <c r="O145" s="61" t="n">
        <f aca="false">$E143+NPV(Disc,$F143:O143)</f>
        <v>-5647.05829183013</v>
      </c>
      <c r="P145" s="61" t="n">
        <f aca="false">$E143+NPV(Disc,$F143:P143)</f>
        <v>-5542.61939499629</v>
      </c>
      <c r="Q145" s="61" t="n">
        <f aca="false">$E143+NPV(Disc,$F143:Q143)</f>
        <v>-5439.96994671654</v>
      </c>
      <c r="R145" s="61" t="n">
        <f aca="false">$E143+NPV(Disc,$F143:R143)</f>
        <v>-5353.16782732935</v>
      </c>
      <c r="S145" s="61" t="n">
        <f aca="false">$E143+NPV(Disc,$F143:S143)</f>
        <v>-5279.37498420846</v>
      </c>
      <c r="T145" s="61" t="n">
        <f aca="false">$E143+NPV(Disc,$F143:T143)</f>
        <v>-5217.07493946711</v>
      </c>
      <c r="U145" s="61" t="n">
        <f aca="false">$E143+NPV(Disc,$F143:U143)</f>
        <v>-5152.73450800565</v>
      </c>
      <c r="V145" s="61" t="n">
        <f aca="false">$E143+NPV(Disc,$F143:V143)</f>
        <v>-5079.37892987638</v>
      </c>
      <c r="W145" s="61" t="n">
        <f aca="false">$E143+NPV(Disc,$F143:W143)</f>
        <v>-4987.13167885855</v>
      </c>
      <c r="X145" s="61" t="n">
        <f aca="false">$E143+NPV(Disc,$F143:X143)</f>
        <v>-4906.68242494758</v>
      </c>
      <c r="Y145" s="61" t="n">
        <f aca="false">$E143+NPV(Disc,$F143:Y143)</f>
        <v>-4837.96038700333</v>
      </c>
      <c r="Z145" s="61" t="n">
        <f aca="false">$E143+NPV(Disc,$F143:Z143)</f>
        <v>-4198.59655805514</v>
      </c>
      <c r="AA145" s="298"/>
      <c r="AB145" s="298"/>
    </row>
    <row r="146" customFormat="false" ht="12.75" hidden="false" customHeight="false" outlineLevel="0" collapsed="false">
      <c r="A146" s="138"/>
      <c r="B146" s="39" t="s">
        <v>380</v>
      </c>
      <c r="C146" s="39"/>
      <c r="D146" s="39"/>
      <c r="E146" s="107" t="e">
        <f aca="false">IRR($E143:E143,-0.9)</f>
        <v>#N/A</v>
      </c>
      <c r="F146" s="107" t="e">
        <f aca="false">IRR($E143:F143,-0.9)</f>
        <v>#N/A</v>
      </c>
      <c r="G146" s="107" t="n">
        <f aca="false">IRR($E143:G143,-0.9)</f>
        <v>-0.85826012305215</v>
      </c>
      <c r="H146" s="107" t="n">
        <f aca="false">IRR($E143:H143,-0.9)</f>
        <v>-0.750578124952389</v>
      </c>
      <c r="I146" s="107" t="e">
        <f aca="false">IRR($E143:I143,-0.9)</f>
        <v>#N/A</v>
      </c>
      <c r="J146" s="107" t="e">
        <f aca="false">IRR($E143:J143,-0.9)</f>
        <v>#N/A</v>
      </c>
      <c r="K146" s="107" t="e">
        <f aca="false">IRR($E143:K143,-0.9)</f>
        <v>#N/A</v>
      </c>
      <c r="L146" s="107" t="e">
        <f aca="false">IRR($E143:L143,-0.9)</f>
        <v>#N/A</v>
      </c>
      <c r="M146" s="107" t="e">
        <f aca="false">IRR($E143:M143,-0.9)</f>
        <v>#N/A</v>
      </c>
      <c r="N146" s="107" t="e">
        <f aca="false">IRR($E143:N143,-0.9)</f>
        <v>#N/A</v>
      </c>
      <c r="O146" s="107" t="e">
        <f aca="false">IRR($E143:O143,-0.9)</f>
        <v>#N/A</v>
      </c>
      <c r="P146" s="107" t="e">
        <f aca="false">IRR($E143:P143,-0.9)</f>
        <v>#N/A</v>
      </c>
      <c r="Q146" s="107" t="e">
        <f aca="false">IRR($E143:Q143,-0.9)</f>
        <v>#N/A</v>
      </c>
      <c r="R146" s="107" t="e">
        <f aca="false">IRR($E143:R143,-0.9)</f>
        <v>#N/A</v>
      </c>
      <c r="S146" s="107" t="e">
        <f aca="false">IRR($E143:S143,-0.9)</f>
        <v>#N/A</v>
      </c>
      <c r="T146" s="107" t="e">
        <f aca="false">IRR($E143:T143,-0.9)</f>
        <v>#N/A</v>
      </c>
      <c r="U146" s="107" t="e">
        <f aca="false">IRR($E143:U143,-0.9)</f>
        <v>#N/A</v>
      </c>
      <c r="V146" s="107" t="e">
        <f aca="false">IRR($E143:V143,-0.9)</f>
        <v>#N/A</v>
      </c>
      <c r="W146" s="107" t="e">
        <f aca="false">IRR($E143:W143,-0.9)</f>
        <v>#N/A</v>
      </c>
      <c r="X146" s="107" t="e">
        <f aca="false">IRR($E143:X143,-0.9)</f>
        <v>#N/A</v>
      </c>
      <c r="Y146" s="107" t="e">
        <f aca="false">IRR($E143:Y143,-0.9)</f>
        <v>#N/A</v>
      </c>
      <c r="Z146" s="107" t="e">
        <f aca="false">IRR($E143:Z143,-0.9)</f>
        <v>#N/A</v>
      </c>
      <c r="AA146" s="298"/>
      <c r="AB146" s="371" t="n">
        <f aca="false">IRR($E143:Z143)</f>
        <v>0.0998878062927229</v>
      </c>
    </row>
    <row r="147" customFormat="false" ht="12.75" hidden="false" customHeight="false" outlineLevel="0" collapsed="false">
      <c r="A147" s="138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298"/>
      <c r="AB147" s="298"/>
    </row>
    <row r="148" customFormat="false" ht="12.75" hidden="false" customHeight="false" outlineLevel="0" collapsed="false">
      <c r="A148" s="138"/>
      <c r="B148" s="374" t="str">
        <f aca="false">CONCATENATE("Transredes NPV w/ Subordinated Debt @ ",TEXT(Disc,"0.0%"))</f>
        <v>Transredes NPV w/ Subordinated Debt @ 19.0%</v>
      </c>
      <c r="C148" s="375" t="n">
        <f aca="false">AB143</f>
        <v>-4198.59655805514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298"/>
      <c r="AB148" s="298"/>
    </row>
    <row r="149" customFormat="false" ht="13.5" hidden="false" customHeight="false" outlineLevel="0" collapsed="false">
      <c r="A149" s="225"/>
      <c r="B149" s="378" t="s">
        <v>420</v>
      </c>
      <c r="C149" s="461" t="n">
        <f aca="false">AB146</f>
        <v>0.0998878062927229</v>
      </c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349"/>
      <c r="AB149" s="34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7" activeCellId="0" sqref="A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.7"/>
    <col collapsed="false" customWidth="true" hidden="false" outlineLevel="0" max="2" min="2" style="1" width="45.7"/>
    <col collapsed="false" customWidth="false" hidden="false" outlineLevel="0" max="4" min="3" style="1" width="9.14"/>
    <col collapsed="false" customWidth="true" hidden="false" outlineLevel="0" max="26" min="5" style="468" width="9.7"/>
    <col collapsed="false" customWidth="true" hidden="false" outlineLevel="0" max="27" min="27" style="47" width="11.7"/>
    <col collapsed="false" customWidth="false" hidden="false" outlineLevel="0" max="257" min="28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469"/>
      <c r="Z1" s="469"/>
      <c r="AA1" s="116"/>
      <c r="AB1" s="108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469"/>
      <c r="Z2" s="469"/>
      <c r="AA2" s="116"/>
      <c r="AB2" s="108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72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69"/>
      <c r="W3" s="469"/>
      <c r="X3" s="469"/>
      <c r="Y3" s="469"/>
      <c r="Z3" s="469"/>
      <c r="AA3" s="116"/>
      <c r="AB3" s="108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421</v>
      </c>
      <c r="B4" s="21"/>
      <c r="C4" s="15"/>
      <c r="D4" s="108"/>
      <c r="E4" s="472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116"/>
      <c r="AB4" s="108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16"/>
      <c r="F5" s="116"/>
      <c r="G5" s="116"/>
      <c r="H5" s="116"/>
      <c r="I5" s="116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116"/>
      <c r="AB5" s="108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6"/>
      <c r="E6" s="474" t="n">
        <f aca="false">Returns!E6</f>
        <v>0</v>
      </c>
      <c r="F6" s="474" t="n">
        <f aca="false">Returns!F6</f>
        <v>0</v>
      </c>
      <c r="G6" s="474" t="n">
        <f aca="false">Returns!G6</f>
        <v>0</v>
      </c>
      <c r="H6" s="474" t="n">
        <f aca="false">Returns!H6</f>
        <v>1</v>
      </c>
      <c r="I6" s="474" t="n">
        <f aca="false">Returns!I6</f>
        <v>2</v>
      </c>
      <c r="J6" s="474" t="n">
        <f aca="false">Returns!J6</f>
        <v>3</v>
      </c>
      <c r="K6" s="474" t="n">
        <f aca="false">Returns!K6</f>
        <v>4</v>
      </c>
      <c r="L6" s="474" t="n">
        <f aca="false">Returns!L6</f>
        <v>5</v>
      </c>
      <c r="M6" s="474" t="n">
        <f aca="false">Returns!M6</f>
        <v>6</v>
      </c>
      <c r="N6" s="474" t="n">
        <f aca="false">Returns!N6</f>
        <v>7</v>
      </c>
      <c r="O6" s="474" t="n">
        <f aca="false">Returns!O6</f>
        <v>8</v>
      </c>
      <c r="P6" s="474" t="n">
        <f aca="false">Returns!P6</f>
        <v>9</v>
      </c>
      <c r="Q6" s="474" t="n">
        <f aca="false">Returns!Q6</f>
        <v>10</v>
      </c>
      <c r="R6" s="474" t="n">
        <f aca="false">Returns!R6</f>
        <v>11</v>
      </c>
      <c r="S6" s="474" t="n">
        <f aca="false">Returns!S6</f>
        <v>12</v>
      </c>
      <c r="T6" s="474" t="n">
        <f aca="false">Returns!T6</f>
        <v>13</v>
      </c>
      <c r="U6" s="474" t="n">
        <f aca="false">Returns!U6</f>
        <v>14</v>
      </c>
      <c r="V6" s="474" t="n">
        <f aca="false">Returns!V6</f>
        <v>15</v>
      </c>
      <c r="W6" s="474" t="n">
        <f aca="false">Returns!W6</f>
        <v>16</v>
      </c>
      <c r="X6" s="474" t="n">
        <f aca="false">Returns!X6</f>
        <v>17</v>
      </c>
      <c r="Y6" s="474" t="n">
        <f aca="false">Returns!Y6</f>
        <v>18</v>
      </c>
      <c r="Z6" s="474" t="n">
        <f aca="false">Returns!Z6</f>
        <v>19</v>
      </c>
      <c r="AA6" s="475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322</v>
      </c>
      <c r="B7" s="22"/>
      <c r="C7" s="22"/>
      <c r="D7" s="22"/>
      <c r="E7" s="476" t="n">
        <f aca="false">Returns!E7</f>
        <v>1998</v>
      </c>
      <c r="F7" s="476" t="n">
        <f aca="false">Returns!F7</f>
        <v>1999</v>
      </c>
      <c r="G7" s="476" t="n">
        <f aca="false">Returns!G7</f>
        <v>2000</v>
      </c>
      <c r="H7" s="476" t="n">
        <f aca="false">Returns!H7</f>
        <v>2001</v>
      </c>
      <c r="I7" s="476" t="n">
        <f aca="false">Returns!I7</f>
        <v>2002</v>
      </c>
      <c r="J7" s="476" t="n">
        <f aca="false">Returns!J7</f>
        <v>2003</v>
      </c>
      <c r="K7" s="476" t="n">
        <f aca="false">Returns!K7</f>
        <v>2004</v>
      </c>
      <c r="L7" s="476" t="n">
        <f aca="false">Returns!L7</f>
        <v>2005</v>
      </c>
      <c r="M7" s="476" t="n">
        <f aca="false">Returns!M7</f>
        <v>2006</v>
      </c>
      <c r="N7" s="476" t="n">
        <f aca="false">Returns!N7</f>
        <v>2007</v>
      </c>
      <c r="O7" s="476" t="n">
        <f aca="false">Returns!O7</f>
        <v>2008</v>
      </c>
      <c r="P7" s="476" t="n">
        <f aca="false">Returns!P7</f>
        <v>2009</v>
      </c>
      <c r="Q7" s="476" t="n">
        <f aca="false">Returns!Q7</f>
        <v>2010</v>
      </c>
      <c r="R7" s="476" t="n">
        <f aca="false">Returns!R7</f>
        <v>2011</v>
      </c>
      <c r="S7" s="476" t="n">
        <f aca="false">Returns!S7</f>
        <v>2012</v>
      </c>
      <c r="T7" s="476" t="n">
        <f aca="false">Returns!T7</f>
        <v>2013</v>
      </c>
      <c r="U7" s="476" t="n">
        <f aca="false">Returns!U7</f>
        <v>2014</v>
      </c>
      <c r="V7" s="476" t="n">
        <f aca="false">Returns!V7</f>
        <v>2015</v>
      </c>
      <c r="W7" s="476" t="n">
        <f aca="false">Returns!W7</f>
        <v>2016</v>
      </c>
      <c r="X7" s="476" t="n">
        <f aca="false">Returns!X7</f>
        <v>2017</v>
      </c>
      <c r="Y7" s="476" t="n">
        <f aca="false">Returns!Y7</f>
        <v>2018</v>
      </c>
      <c r="Z7" s="476" t="n">
        <f aca="false">Returns!Z7</f>
        <v>2019</v>
      </c>
      <c r="AA7" s="293" t="str">
        <f aca="false">Returns!AA7</f>
        <v>Totals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477"/>
      <c r="B8" s="39"/>
      <c r="C8" s="39"/>
      <c r="D8" s="39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  <c r="AA8" s="47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423</v>
      </c>
      <c r="B9" s="39"/>
      <c r="C9" s="39"/>
      <c r="D9" s="39"/>
      <c r="E9" s="47" t="n">
        <f aca="false">IF(E$7&lt;YEAR(Startops1),0,HLOOKUP(E$7,CF_Table,CF!$AB$9))</f>
        <v>0</v>
      </c>
      <c r="F9" s="47" t="n">
        <f aca="false">IF(F$7&lt;YEAR(Startops1),0,HLOOKUP(F$7,CF_Table,CF!$AB$9))</f>
        <v>0</v>
      </c>
      <c r="G9" s="47" t="n">
        <f aca="false">IF(G$7&lt;YEAR(Startops1),0,HLOOKUP(G$7,CF_Table,CF!$AB$9))</f>
        <v>0</v>
      </c>
      <c r="H9" s="47" t="n">
        <f aca="false">IF(H$7&lt;YEAR(Startops1),0,HLOOKUP(H$7,CF_Table,CF!$AB$9))</f>
        <v>10</v>
      </c>
      <c r="I9" s="47" t="n">
        <f aca="false">IF(I$7&lt;YEAR(Startops1),0,HLOOKUP(I$7,CF_Table,CF!$AB$9))</f>
        <v>12</v>
      </c>
      <c r="J9" s="47" t="n">
        <f aca="false">IF(J$7&lt;YEAR(Startops1),0,HLOOKUP(J$7,CF_Table,CF!$AB$9))</f>
        <v>12</v>
      </c>
      <c r="K9" s="47" t="n">
        <f aca="false">IF(K$7&lt;YEAR(Startops1),0,HLOOKUP(K$7,CF_Table,CF!$AB$9))</f>
        <v>12</v>
      </c>
      <c r="L9" s="47" t="n">
        <f aca="false">IF(L$7&lt;YEAR(Startops1),0,HLOOKUP(L$7,CF_Table,CF!$AB$9))</f>
        <v>12</v>
      </c>
      <c r="M9" s="47" t="n">
        <f aca="false">IF(M$7&lt;YEAR(Startops1),0,HLOOKUP(M$7,CF_Table,CF!$AB$9))</f>
        <v>12</v>
      </c>
      <c r="N9" s="47" t="n">
        <f aca="false">IF(N$7&lt;YEAR(Startops1),0,HLOOKUP(N$7,CF_Table,CF!$AB$9))</f>
        <v>12</v>
      </c>
      <c r="O9" s="47" t="n">
        <f aca="false">IF(O$7&lt;YEAR(Startops1),0,HLOOKUP(O$7,CF_Table,CF!$AB$9))</f>
        <v>12</v>
      </c>
      <c r="P9" s="47" t="n">
        <f aca="false">IF(P$7&lt;YEAR(Startops1),0,HLOOKUP(P$7,CF_Table,CF!$AB$9))</f>
        <v>12</v>
      </c>
      <c r="Q9" s="47" t="n">
        <f aca="false">IF(Q$7&lt;YEAR(Startops1),0,HLOOKUP(Q$7,CF_Table,CF!$AB$9))</f>
        <v>12</v>
      </c>
      <c r="R9" s="47" t="n">
        <f aca="false">IF(R$7&lt;YEAR(Startops1),0,HLOOKUP(R$7,CF_Table,CF!$AB$9))</f>
        <v>12</v>
      </c>
      <c r="S9" s="47" t="n">
        <f aca="false">IF(S$7&lt;YEAR(Startops1),0,HLOOKUP(S$7,CF_Table,CF!$AB$9))</f>
        <v>12</v>
      </c>
      <c r="T9" s="47" t="n">
        <f aca="false">IF(T$7&lt;YEAR(Startops1),0,HLOOKUP(T$7,CF_Table,CF!$AB$9))</f>
        <v>12</v>
      </c>
      <c r="U9" s="47" t="n">
        <f aca="false">IF(U$7&lt;YEAR(Startops1),0,HLOOKUP(U$7,CF_Table,CF!$AB$9))</f>
        <v>12</v>
      </c>
      <c r="V9" s="47" t="n">
        <f aca="false">IF(V$7&lt;YEAR(Startops1),0,HLOOKUP(V$7,CF_Table,CF!$AB$9))</f>
        <v>12</v>
      </c>
      <c r="W9" s="47" t="n">
        <f aca="false">IF(W$7&lt;YEAR(Startops1),0,HLOOKUP(W$7,CF_Table,CF!$AB$9))</f>
        <v>12</v>
      </c>
      <c r="X9" s="47" t="n">
        <f aca="false">IF(X$7&lt;YEAR(Startops1),0,HLOOKUP(X$7,CF_Table,CF!$AB$9))</f>
        <v>12</v>
      </c>
      <c r="Y9" s="47" t="n">
        <f aca="false">IF(Y$7&lt;YEAR(Startops1),0,HLOOKUP(Y$7,CF_Table,CF!$AB$9))</f>
        <v>12</v>
      </c>
      <c r="Z9" s="47" t="n">
        <f aca="false">IF(Z$7&lt;YEAR(Startops1),0,HLOOKUP(Z$7,CF_Table,CF!$AB$9))</f>
        <v>4</v>
      </c>
      <c r="AA9" s="480" t="n">
        <f aca="false">SUM(E9:Z9)</f>
        <v>218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81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114" t="s">
        <v>424</v>
      </c>
      <c r="B11" s="39"/>
      <c r="C11" s="39"/>
      <c r="D11" s="39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81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7" t="s">
        <v>425</v>
      </c>
      <c r="B12" s="39"/>
      <c r="C12" s="39"/>
      <c r="D12" s="39"/>
      <c r="E12" s="174" t="n">
        <f aca="false">IF(E$7&lt;YEAR(Startops1),0,HLOOKUP(E$7,CF_Table,CF!$AB$43))</f>
        <v>0</v>
      </c>
      <c r="F12" s="174" t="n">
        <f aca="false">IF(F$7&lt;YEAR(Startops1),0,HLOOKUP(F$7,CF_Table,CF!$AB$43))</f>
        <v>0</v>
      </c>
      <c r="G12" s="174" t="n">
        <f aca="false">IF(G$7&lt;YEAR(Startops1),0,HLOOKUP(G$7,CF_Table,CF!$AB$43))</f>
        <v>0</v>
      </c>
      <c r="H12" s="174" t="n">
        <f aca="false">IF(H$7&lt;YEAR(Startops1),0,HLOOKUP(H$7,CF_Table,CF!$AB$43))</f>
        <v>5065.69806652947</v>
      </c>
      <c r="I12" s="174" t="n">
        <f aca="false">IF(I$7&lt;YEAR(Startops1),0,HLOOKUP(I$7,CF_Table,CF!$AB$43))</f>
        <v>8103.02736870335</v>
      </c>
      <c r="J12" s="174" t="n">
        <f aca="false">IF(J$7&lt;YEAR(Startops1),0,HLOOKUP(J$7,CF_Table,CF!$AB$43))</f>
        <v>7652.96520800094</v>
      </c>
      <c r="K12" s="174" t="n">
        <f aca="false">IF(K$7&lt;YEAR(Startops1),0,HLOOKUP(K$7,CF_Table,CF!$AB$43))</f>
        <v>12076.0963752407</v>
      </c>
      <c r="L12" s="174" t="n">
        <f aca="false">IF(L$7&lt;YEAR(Startops1),0,HLOOKUP(L$7,CF_Table,CF!$AB$43))</f>
        <v>12539.6692530351</v>
      </c>
      <c r="M12" s="174" t="n">
        <f aca="false">IF(M$7&lt;YEAR(Startops1),0,HLOOKUP(M$7,CF_Table,CF!$AB$43))</f>
        <v>12569.1594367273</v>
      </c>
      <c r="N12" s="174" t="n">
        <f aca="false">IF(N$7&lt;YEAR(Startops1),0,HLOOKUP(N$7,CF_Table,CF!$AB$43))</f>
        <v>12751.9606758467</v>
      </c>
      <c r="O12" s="174" t="n">
        <f aca="false">IF(O$7&lt;YEAR(Startops1),0,HLOOKUP(O$7,CF_Table,CF!$AB$43))</f>
        <v>12715.0533450063</v>
      </c>
      <c r="P12" s="174" t="n">
        <f aca="false">IF(P$7&lt;YEAR(Startops1),0,HLOOKUP(P$7,CF_Table,CF!$AB$43))</f>
        <v>13083.3381152017</v>
      </c>
      <c r="Q12" s="174" t="n">
        <f aca="false">IF(Q$7&lt;YEAR(Startops1),0,HLOOKUP(Q$7,CF_Table,CF!$AB$43))</f>
        <v>13341.8334294997</v>
      </c>
      <c r="R12" s="174" t="n">
        <f aca="false">IF(R$7&lt;YEAR(Startops1),0,HLOOKUP(R$7,CF_Table,CF!$AB$43))</f>
        <v>13880.4196620209</v>
      </c>
      <c r="S12" s="174" t="n">
        <f aca="false">IF(S$7&lt;YEAR(Startops1),0,HLOOKUP(S$7,CF_Table,CF!$AB$43))</f>
        <v>14371.6797688588</v>
      </c>
      <c r="T12" s="174" t="n">
        <f aca="false">IF(T$7&lt;YEAR(Startops1),0,HLOOKUP(T$7,CF_Table,CF!$AB$43))</f>
        <v>13501.5871785154</v>
      </c>
      <c r="U12" s="174" t="n">
        <f aca="false">IF(U$7&lt;YEAR(Startops1),0,HLOOKUP(U$7,CF_Table,CF!$AB$43))</f>
        <v>15264.8177623756</v>
      </c>
      <c r="V12" s="174" t="n">
        <f aca="false">IF(V$7&lt;YEAR(Startops1),0,HLOOKUP(V$7,CF_Table,CF!$AB$43))</f>
        <v>16100.3956245364</v>
      </c>
      <c r="W12" s="174" t="n">
        <f aca="false">IF(W$7&lt;YEAR(Startops1),0,HLOOKUP(W$7,CF_Table,CF!$AB$43))</f>
        <v>17025.9498931628</v>
      </c>
      <c r="X12" s="174" t="n">
        <f aca="false">IF(X$7&lt;YEAR(Startops1),0,HLOOKUP(X$7,CF_Table,CF!$AB$43))</f>
        <v>18121.4469657984</v>
      </c>
      <c r="Y12" s="174" t="n">
        <f aca="false">IF(Y$7&lt;YEAR(Startops1),0,HLOOKUP(Y$7,CF_Table,CF!$AB$43))</f>
        <v>19091.4211967255</v>
      </c>
      <c r="Z12" s="174" t="n">
        <f aca="false">IF(Z$7&lt;YEAR(Startops1),0,HLOOKUP(Z$7,CF_Table,CF!$AB$43))</f>
        <v>6402.97116530597</v>
      </c>
      <c r="AA12" s="482" t="n">
        <f aca="false">SUM(E12:Z12)</f>
        <v>243659.490491091</v>
      </c>
      <c r="AB12" s="483" t="str">
        <f aca="false">IF(SUM(AA12-CF!Z43)=0," ","Check")</f>
        <v> 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347</v>
      </c>
      <c r="B13" s="39"/>
      <c r="C13" s="39"/>
      <c r="D13" s="39"/>
      <c r="E13" s="174" t="n">
        <f aca="false">IF(E$7&lt;YEAR(Startops1),0,HLOOKUP(E$7,CF_Table,CF!$AB$47))</f>
        <v>0</v>
      </c>
      <c r="F13" s="174" t="n">
        <f aca="false">IF(F$7&lt;YEAR(Startops1),0,HLOOKUP(F$7,CF_Table,CF!$AB$47))</f>
        <v>0</v>
      </c>
      <c r="G13" s="174" t="n">
        <f aca="false">IF(G$7&lt;YEAR(Startops1),0,HLOOKUP(G$7,CF_Table,CF!$AB$47))</f>
        <v>0</v>
      </c>
      <c r="H13" s="174" t="n">
        <f aca="false">IF(H$7&lt;YEAR(Startops1),0,HLOOKUP(H$7,CF_Table,CF!$AB$47))</f>
        <v>-3484.30006534666</v>
      </c>
      <c r="I13" s="174" t="n">
        <f aca="false">IF(I$7&lt;YEAR(Startops1),0,HLOOKUP(I$7,CF_Table,CF!$AB$47))</f>
        <v>-8330.96444278677</v>
      </c>
      <c r="J13" s="174" t="n">
        <f aca="false">IF(J$7&lt;YEAR(Startops1),0,HLOOKUP(J$7,CF_Table,CF!$AB$47))</f>
        <v>-8183.73683679701</v>
      </c>
      <c r="K13" s="174" t="n">
        <f aca="false">IF(K$7&lt;YEAR(Startops1),0,HLOOKUP(K$7,CF_Table,CF!$AB$47))</f>
        <v>-7874.92829957685</v>
      </c>
      <c r="L13" s="174" t="n">
        <f aca="false">IF(L$7&lt;YEAR(Startops1),0,HLOOKUP(L$7,CF_Table,CF!$AB$47))</f>
        <v>-7246.88619934103</v>
      </c>
      <c r="M13" s="174" t="n">
        <f aca="false">IF(M$7&lt;YEAR(Startops1),0,HLOOKUP(M$7,CF_Table,CF!$AB$47))</f>
        <v>-6469.57071121993</v>
      </c>
      <c r="N13" s="174" t="n">
        <f aca="false">IF(N$7&lt;YEAR(Startops1),0,HLOOKUP(N$7,CF_Table,CF!$AB$47))</f>
        <v>-5579.15484297768</v>
      </c>
      <c r="O13" s="174" t="n">
        <f aca="false">IF(O$7&lt;YEAR(Startops1),0,HLOOKUP(O$7,CF_Table,CF!$AB$47))</f>
        <v>-4657.38027414731</v>
      </c>
      <c r="P13" s="174" t="n">
        <f aca="false">IF(P$7&lt;YEAR(Startops1),0,HLOOKUP(P$7,CF_Table,CF!$AB$47))</f>
        <v>-4069.26227957454</v>
      </c>
      <c r="Q13" s="174" t="n">
        <f aca="false">IF(Q$7&lt;YEAR(Startops1),0,HLOOKUP(Q$7,CF_Table,CF!$AB$47))</f>
        <v>-3592.36314308763</v>
      </c>
      <c r="R13" s="174" t="n">
        <f aca="false">IF(R$7&lt;YEAR(Startops1),0,HLOOKUP(R$7,CF_Table,CF!$AB$47))</f>
        <v>-3115.46400660072</v>
      </c>
      <c r="S13" s="174" t="n">
        <f aca="false">IF(S$7&lt;YEAR(Startops1),0,HLOOKUP(S$7,CF_Table,CF!$AB$47))</f>
        <v>-2471.73658298501</v>
      </c>
      <c r="T13" s="174" t="n">
        <f aca="false">IF(T$7&lt;YEAR(Startops1),0,HLOOKUP(T$7,CF_Table,CF!$AB$47))</f>
        <v>-1772.39973032637</v>
      </c>
      <c r="U13" s="174" t="n">
        <f aca="false">IF(U$7&lt;YEAR(Startops1),0,HLOOKUP(U$7,CF_Table,CF!$AB$47))</f>
        <v>-1073.06287766773</v>
      </c>
      <c r="V13" s="174" t="n">
        <f aca="false">IF(V$7&lt;YEAR(Startops1),0,HLOOKUP(V$7,CF_Table,CF!$AB$47))</f>
        <v>-326.687974126908</v>
      </c>
      <c r="W13" s="174" t="n">
        <f aca="false">IF(W$7&lt;YEAR(Startops1),0,HLOOKUP(W$7,CF_Table,CF!$AB$47))</f>
        <v>-0</v>
      </c>
      <c r="X13" s="174" t="n">
        <f aca="false">IF(X$7&lt;YEAR(Startops1),0,HLOOKUP(X$7,CF_Table,CF!$AB$47))</f>
        <v>-0</v>
      </c>
      <c r="Y13" s="174" t="n">
        <f aca="false">IF(Y$7&lt;YEAR(Startops1),0,HLOOKUP(Y$7,CF_Table,CF!$AB$47))</f>
        <v>-0</v>
      </c>
      <c r="Z13" s="174" t="n">
        <f aca="false">IF(Z$7&lt;YEAR(Startops1),0,HLOOKUP(Z$7,CF_Table,CF!$AB$47))</f>
        <v>-0</v>
      </c>
      <c r="AA13" s="482" t="n">
        <f aca="false">SUM(E13:Z13)</f>
        <v>-68247.8982665621</v>
      </c>
      <c r="AB13" s="483" t="str">
        <f aca="false">IF(SUM(AA13+'Debt Amort'!AD12)=0," ","Check")</f>
        <v> </v>
      </c>
    </row>
    <row r="14" customFormat="false" ht="12.75" hidden="false" customHeight="false" outlineLevel="0" collapsed="false">
      <c r="A14" s="37" t="s">
        <v>348</v>
      </c>
      <c r="B14" s="39"/>
      <c r="C14" s="39"/>
      <c r="D14" s="39"/>
      <c r="E14" s="174" t="n">
        <f aca="false">IF(E$7&lt;YEAR(Startops1),0,HLOOKUP(E$7,CF_Table,CF!$AB$48))</f>
        <v>0</v>
      </c>
      <c r="F14" s="174" t="n">
        <f aca="false">IF(F$7&lt;YEAR(Startops1),0,HLOOKUP(F$7,CF_Table,CF!$AB$48))</f>
        <v>0</v>
      </c>
      <c r="G14" s="174" t="n">
        <f aca="false">IF(G$7&lt;YEAR(Startops1),0,HLOOKUP(G$7,CF_Table,CF!$AB$48))</f>
        <v>0</v>
      </c>
      <c r="H14" s="174" t="n">
        <f aca="false">IF(H$7&lt;YEAR(Startops1),0,HLOOKUP(H$7,CF_Table,CF!$AB$48))</f>
        <v>-1164.18732247162</v>
      </c>
      <c r="I14" s="174" t="n">
        <f aca="false">IF(I$7&lt;YEAR(Startops1),0,HLOOKUP(I$7,CF_Table,CF!$AB$48))</f>
        <v>-2763.74642383806</v>
      </c>
      <c r="J14" s="174" t="n">
        <f aca="false">IF(J$7&lt;YEAR(Startops1),0,HLOOKUP(J$7,CF_Table,CF!$AB$48))</f>
        <v>-2634.52697362921</v>
      </c>
      <c r="K14" s="174" t="n">
        <f aca="false">IF(K$7&lt;YEAR(Startops1),0,HLOOKUP(K$7,CF_Table,CF!$AB$48))</f>
        <v>-2487.96304271607</v>
      </c>
      <c r="L14" s="174" t="n">
        <f aca="false">IF(L$7&lt;YEAR(Startops1),0,HLOOKUP(L$7,CF_Table,CF!$AB$48))</f>
        <v>-2321.72656817612</v>
      </c>
      <c r="M14" s="174" t="n">
        <f aca="false">IF(M$7&lt;YEAR(Startops1),0,HLOOKUP(M$7,CF_Table,CF!$AB$48))</f>
        <v>-2133.17700284105</v>
      </c>
      <c r="N14" s="174" t="n">
        <f aca="false">IF(N$7&lt;YEAR(Startops1),0,HLOOKUP(N$7,CF_Table,CF!$AB$48))</f>
        <v>-1919.31937209887</v>
      </c>
      <c r="O14" s="174" t="n">
        <f aca="false">IF(O$7&lt;YEAR(Startops1),0,HLOOKUP(O$7,CF_Table,CF!$AB$48))</f>
        <v>-1676.75670087033</v>
      </c>
      <c r="P14" s="174" t="n">
        <f aca="false">IF(P$7&lt;YEAR(Startops1),0,HLOOKUP(P$7,CF_Table,CF!$AB$48))</f>
        <v>-1401.63605509613</v>
      </c>
      <c r="Q14" s="174" t="n">
        <f aca="false">IF(Q$7&lt;YEAR(Startops1),0,HLOOKUP(Q$7,CF_Table,CF!$AB$48))</f>
        <v>-1089.5873406429</v>
      </c>
      <c r="R14" s="174" t="n">
        <f aca="false">IF(R$7&lt;YEAR(Startops1),0,HLOOKUP(R$7,CF_Table,CF!$AB$48))</f>
        <v>-735.653887492177</v>
      </c>
      <c r="S14" s="174" t="n">
        <f aca="false">IF(S$7&lt;YEAR(Startops1),0,HLOOKUP(S$7,CF_Table,CF!$AB$48))</f>
        <v>-334.2137165923</v>
      </c>
      <c r="T14" s="174" t="n">
        <f aca="false">IF(T$7&lt;YEAR(Startops1),0,HLOOKUP(T$7,CF_Table,CF!$AB$48))</f>
        <v>-0</v>
      </c>
      <c r="U14" s="174" t="n">
        <f aca="false">IF(U$7&lt;YEAR(Startops1),0,HLOOKUP(U$7,CF_Table,CF!$AB$48))</f>
        <v>-0</v>
      </c>
      <c r="V14" s="174" t="n">
        <f aca="false">IF(V$7&lt;YEAR(Startops1),0,HLOOKUP(V$7,CF_Table,CF!$AB$48))</f>
        <v>-0</v>
      </c>
      <c r="W14" s="174" t="n">
        <f aca="false">IF(W$7&lt;YEAR(Startops1),0,HLOOKUP(W$7,CF_Table,CF!$AB$48))</f>
        <v>-0</v>
      </c>
      <c r="X14" s="174" t="n">
        <f aca="false">IF(X$7&lt;YEAR(Startops1),0,HLOOKUP(X$7,CF_Table,CF!$AB$48))</f>
        <v>-0</v>
      </c>
      <c r="Y14" s="174" t="n">
        <f aca="false">IF(Y$7&lt;YEAR(Startops1),0,HLOOKUP(Y$7,CF_Table,CF!$AB$48))</f>
        <v>-0</v>
      </c>
      <c r="Z14" s="174" t="n">
        <f aca="false">IF(Z$7&lt;YEAR(Startops1),0,HLOOKUP(Z$7,CF_Table,CF!$AB$48))</f>
        <v>-0</v>
      </c>
      <c r="AA14" s="482" t="n">
        <f aca="false">SUM(E14:Z14)</f>
        <v>-20662.4944064648</v>
      </c>
      <c r="AB14" s="483" t="str">
        <f aca="false">IF(SUM(AA14+'Debt Amort'!AD20)=0," ","Check")</f>
        <v> </v>
      </c>
    </row>
    <row r="15" customFormat="false" ht="12.75" hidden="false" customHeight="false" outlineLevel="0" collapsed="false">
      <c r="A15" s="37" t="s">
        <v>426</v>
      </c>
      <c r="B15" s="39"/>
      <c r="C15" s="39"/>
      <c r="D15" s="39"/>
      <c r="E15" s="484" t="n">
        <f aca="false">IF(E$7&lt;YEAR(Startops1),0,HLOOKUP(E$7,CF_Table,CF!$AB$44))</f>
        <v>0</v>
      </c>
      <c r="F15" s="484" t="n">
        <f aca="false">IF(F$7&lt;YEAR(Startops1),0,HLOOKUP(F$7,CF_Table,CF!$AB$44))</f>
        <v>0</v>
      </c>
      <c r="G15" s="484" t="n">
        <f aca="false">IF(G$7&lt;YEAR(Startops1),0,HLOOKUP(G$7,CF_Table,CF!$AB$44))</f>
        <v>0</v>
      </c>
      <c r="H15" s="484" t="n">
        <f aca="false">IF(H$7&lt;YEAR(Startops1),0,HLOOKUP(H$7,CF_Table,CF!$AB$44))</f>
        <v>-5267.16686015385</v>
      </c>
      <c r="I15" s="484" t="n">
        <f aca="false">IF(I$7&lt;YEAR(Startops1),0,HLOOKUP(I$7,CF_Table,CF!$AB$44))</f>
        <v>-6320.60023218462</v>
      </c>
      <c r="J15" s="484" t="n">
        <f aca="false">IF(J$7&lt;YEAR(Startops1),0,HLOOKUP(J$7,CF_Table,CF!$AB$44))</f>
        <v>-6320.60023218462</v>
      </c>
      <c r="K15" s="484" t="n">
        <f aca="false">IF(K$7&lt;YEAR(Startops1),0,HLOOKUP(K$7,CF_Table,CF!$AB$44))</f>
        <v>-6320.60023218462</v>
      </c>
      <c r="L15" s="484" t="n">
        <f aca="false">IF(L$7&lt;YEAR(Startops1),0,HLOOKUP(L$7,CF_Table,CF!$AB$44))</f>
        <v>-6320.60023218462</v>
      </c>
      <c r="M15" s="484" t="n">
        <f aca="false">IF(M$7&lt;YEAR(Startops1),0,HLOOKUP(M$7,CF_Table,CF!$AB$44))</f>
        <v>-6320.60023218462</v>
      </c>
      <c r="N15" s="484" t="n">
        <f aca="false">IF(N$7&lt;YEAR(Startops1),0,HLOOKUP(N$7,CF_Table,CF!$AB$44))</f>
        <v>-6320.60023218462</v>
      </c>
      <c r="O15" s="484" t="n">
        <f aca="false">IF(O$7&lt;YEAR(Startops1),0,HLOOKUP(O$7,CF_Table,CF!$AB$44))</f>
        <v>-6320.60023218462</v>
      </c>
      <c r="P15" s="484" t="n">
        <f aca="false">IF(P$7&lt;YEAR(Startops1),0,HLOOKUP(P$7,CF_Table,CF!$AB$44))</f>
        <v>-6320.60023218462</v>
      </c>
      <c r="Q15" s="484" t="n">
        <f aca="false">IF(Q$7&lt;YEAR(Startops1),0,HLOOKUP(Q$7,CF_Table,CF!$AB$44))</f>
        <v>-6320.60023218462</v>
      </c>
      <c r="R15" s="484" t="n">
        <f aca="false">IF(R$7&lt;YEAR(Startops1),0,HLOOKUP(R$7,CF_Table,CF!$AB$44))</f>
        <v>-6320.60023218462</v>
      </c>
      <c r="S15" s="484" t="n">
        <f aca="false">IF(S$7&lt;YEAR(Startops1),0,HLOOKUP(S$7,CF_Table,CF!$AB$44))</f>
        <v>-6320.60023218462</v>
      </c>
      <c r="T15" s="484" t="n">
        <f aca="false">IF(T$7&lt;YEAR(Startops1),0,HLOOKUP(T$7,CF_Table,CF!$AB$44))</f>
        <v>-6320.60023218462</v>
      </c>
      <c r="U15" s="484" t="n">
        <f aca="false">IF(U$7&lt;YEAR(Startops1),0,HLOOKUP(U$7,CF_Table,CF!$AB$44))</f>
        <v>-6320.60023218462</v>
      </c>
      <c r="V15" s="484" t="n">
        <f aca="false">IF(V$7&lt;YEAR(Startops1),0,HLOOKUP(V$7,CF_Table,CF!$AB$44))</f>
        <v>-6320.60023218462</v>
      </c>
      <c r="W15" s="484" t="n">
        <f aca="false">IF(W$7&lt;YEAR(Startops1),0,HLOOKUP(W$7,CF_Table,CF!$AB$44))</f>
        <v>-6320.60023218462</v>
      </c>
      <c r="X15" s="484" t="n">
        <f aca="false">IF(X$7&lt;YEAR(Startops1),0,HLOOKUP(X$7,CF_Table,CF!$AB$44))</f>
        <v>-6320.60023218462</v>
      </c>
      <c r="Y15" s="484" t="n">
        <f aca="false">IF(Y$7&lt;YEAR(Startops1),0,HLOOKUP(Y$7,CF_Table,CF!$AB$44))</f>
        <v>-6320.60023218462</v>
      </c>
      <c r="Z15" s="484" t="n">
        <f aca="false">IF(Z$7&lt;YEAR(Startops1),0,HLOOKUP(Z$7,CF_Table,CF!$AB$44))</f>
        <v>-2106.86674406154</v>
      </c>
      <c r="AA15" s="485" t="n">
        <f aca="false">SUM(E15:Z15)</f>
        <v>-114824.237551354</v>
      </c>
      <c r="AB15" s="483" t="str">
        <f aca="false">IF(SUM(AA15+Depr!AC41)=0," ","Check")</f>
        <v> </v>
      </c>
    </row>
    <row r="16" customFormat="false" ht="12.75" hidden="false" customHeight="false" outlineLevel="0" collapsed="false">
      <c r="A16" s="37" t="s">
        <v>427</v>
      </c>
      <c r="B16" s="39"/>
      <c r="C16" s="39"/>
      <c r="D16" s="39"/>
      <c r="E16" s="486" t="n">
        <f aca="false">SUM(E11:E15)</f>
        <v>0</v>
      </c>
      <c r="F16" s="486" t="n">
        <f aca="false">SUM(F11:F15)</f>
        <v>0</v>
      </c>
      <c r="G16" s="486" t="n">
        <f aca="false">SUM(G11:G15)</f>
        <v>0</v>
      </c>
      <c r="H16" s="486" t="n">
        <f aca="false">SUM(H11:H15)</f>
        <v>-4849.95618144266</v>
      </c>
      <c r="I16" s="486" t="n">
        <f aca="false">SUM(I11:I15)</f>
        <v>-9312.2837301061</v>
      </c>
      <c r="J16" s="486" t="n">
        <f aca="false">SUM(J11:J15)</f>
        <v>-9485.89883460989</v>
      </c>
      <c r="K16" s="486" t="n">
        <f aca="false">SUM(K11:K15)</f>
        <v>-4607.39519923682</v>
      </c>
      <c r="L16" s="486" t="n">
        <f aca="false">SUM(L11:L15)</f>
        <v>-3349.54374666664</v>
      </c>
      <c r="M16" s="486" t="n">
        <f aca="false">SUM(M11:M15)</f>
        <v>-2354.1885095183</v>
      </c>
      <c r="N16" s="486" t="n">
        <f aca="false">SUM(N11:N15)</f>
        <v>-1067.11377141443</v>
      </c>
      <c r="O16" s="486" t="n">
        <f aca="false">SUM(O11:O15)</f>
        <v>60.3161378040759</v>
      </c>
      <c r="P16" s="486" t="n">
        <f aca="false">SUM(P11:P15)</f>
        <v>1291.83954834637</v>
      </c>
      <c r="Q16" s="486" t="n">
        <f aca="false">SUM(Q11:Q15)</f>
        <v>2339.28271358451</v>
      </c>
      <c r="R16" s="486" t="n">
        <f aca="false">SUM(R11:R15)</f>
        <v>3708.70153574339</v>
      </c>
      <c r="S16" s="486" t="n">
        <f aca="false">SUM(S11:S15)</f>
        <v>5245.1292370969</v>
      </c>
      <c r="T16" s="486" t="n">
        <f aca="false">SUM(T11:T15)</f>
        <v>5408.58721600442</v>
      </c>
      <c r="U16" s="486" t="n">
        <f aca="false">SUM(U11:U15)</f>
        <v>7871.15465252329</v>
      </c>
      <c r="V16" s="486" t="n">
        <f aca="false">SUM(V11:V15)</f>
        <v>9453.10741822491</v>
      </c>
      <c r="W16" s="486" t="n">
        <f aca="false">SUM(W11:W15)</f>
        <v>10705.3496609782</v>
      </c>
      <c r="X16" s="486" t="n">
        <f aca="false">SUM(X11:X15)</f>
        <v>11800.8467336138</v>
      </c>
      <c r="Y16" s="486" t="n">
        <f aca="false">SUM(Y11:Y15)</f>
        <v>12770.8209645409</v>
      </c>
      <c r="Z16" s="486" t="n">
        <f aca="false">SUM(Z11:Z15)</f>
        <v>4296.10442124443</v>
      </c>
      <c r="AA16" s="482" t="n">
        <f aca="false">SUM(E16:Z16)</f>
        <v>39924.8602667103</v>
      </c>
    </row>
    <row r="17" customFormat="false" ht="12.75" hidden="false" customHeight="false" outlineLevel="0" collapsed="false">
      <c r="A17" s="37" t="s">
        <v>428</v>
      </c>
      <c r="B17" s="39"/>
      <c r="C17" s="458" t="n">
        <f aca="false">Tax+Add_Tax+Soc_Tax</f>
        <v>0.33</v>
      </c>
      <c r="D17" s="39"/>
      <c r="E17" s="487" t="n">
        <f aca="false">$C17</f>
        <v>0.33</v>
      </c>
      <c r="F17" s="488" t="n">
        <f aca="false">$C17</f>
        <v>0.33</v>
      </c>
      <c r="G17" s="488" t="n">
        <f aca="false">$C17</f>
        <v>0.33</v>
      </c>
      <c r="H17" s="488" t="n">
        <f aca="false">$C17</f>
        <v>0.33</v>
      </c>
      <c r="I17" s="488" t="n">
        <f aca="false">$C17</f>
        <v>0.33</v>
      </c>
      <c r="J17" s="488" t="n">
        <f aca="false">$C17</f>
        <v>0.33</v>
      </c>
      <c r="K17" s="488" t="n">
        <f aca="false">$C17</f>
        <v>0.33</v>
      </c>
      <c r="L17" s="488" t="n">
        <f aca="false">$C17</f>
        <v>0.33</v>
      </c>
      <c r="M17" s="488" t="n">
        <f aca="false">$C17</f>
        <v>0.33</v>
      </c>
      <c r="N17" s="488" t="n">
        <f aca="false">$C17</f>
        <v>0.33</v>
      </c>
      <c r="O17" s="488" t="n">
        <f aca="false">$C17</f>
        <v>0.33</v>
      </c>
      <c r="P17" s="488" t="n">
        <f aca="false">$C17</f>
        <v>0.33</v>
      </c>
      <c r="Q17" s="488" t="n">
        <f aca="false">$C17</f>
        <v>0.33</v>
      </c>
      <c r="R17" s="488" t="n">
        <f aca="false">$C17</f>
        <v>0.33</v>
      </c>
      <c r="S17" s="488" t="n">
        <f aca="false">$C17</f>
        <v>0.33</v>
      </c>
      <c r="T17" s="488" t="n">
        <f aca="false">$C17</f>
        <v>0.33</v>
      </c>
      <c r="U17" s="488" t="n">
        <f aca="false">$C17</f>
        <v>0.33</v>
      </c>
      <c r="V17" s="488" t="n">
        <f aca="false">$C17</f>
        <v>0.33</v>
      </c>
      <c r="W17" s="488" t="n">
        <f aca="false">$C17</f>
        <v>0.33</v>
      </c>
      <c r="X17" s="488" t="n">
        <f aca="false">$C17</f>
        <v>0.33</v>
      </c>
      <c r="Y17" s="488" t="n">
        <f aca="false">$C17</f>
        <v>0.33</v>
      </c>
      <c r="Z17" s="488" t="n">
        <f aca="false">$C17</f>
        <v>0.33</v>
      </c>
      <c r="AA17" s="489" t="n">
        <f aca="false">$C17</f>
        <v>0.33</v>
      </c>
    </row>
    <row r="18" customFormat="false" ht="12.75" hidden="false" customHeight="false" outlineLevel="0" collapsed="false">
      <c r="A18" s="37" t="s">
        <v>429</v>
      </c>
      <c r="B18" s="39"/>
      <c r="C18" s="39"/>
      <c r="D18" s="39"/>
      <c r="E18" s="490" t="n">
        <f aca="false">-E16*E17</f>
        <v>-0</v>
      </c>
      <c r="F18" s="490" t="n">
        <f aca="false">-F16*F17</f>
        <v>-0</v>
      </c>
      <c r="G18" s="490" t="n">
        <f aca="false">-G16*G17</f>
        <v>-0</v>
      </c>
      <c r="H18" s="490" t="n">
        <f aca="false">-H16*H17</f>
        <v>1600.48553987608</v>
      </c>
      <c r="I18" s="490" t="n">
        <f aca="false">-I16*I17</f>
        <v>3073.05363093501</v>
      </c>
      <c r="J18" s="490" t="n">
        <f aca="false">-J16*J17</f>
        <v>3130.34661542126</v>
      </c>
      <c r="K18" s="490" t="n">
        <f aca="false">-K16*K17</f>
        <v>1520.44041574815</v>
      </c>
      <c r="L18" s="490" t="n">
        <f aca="false">-L16*L17</f>
        <v>1105.34943639999</v>
      </c>
      <c r="M18" s="490" t="n">
        <f aca="false">-M16*M17</f>
        <v>776.882208141039</v>
      </c>
      <c r="N18" s="490" t="n">
        <f aca="false">-N16*N17</f>
        <v>352.147544566762</v>
      </c>
      <c r="O18" s="490" t="n">
        <f aca="false">-O16*O17</f>
        <v>-19.904325475345</v>
      </c>
      <c r="P18" s="490" t="n">
        <f aca="false">-P16*P17</f>
        <v>-426.307050954303</v>
      </c>
      <c r="Q18" s="490" t="n">
        <f aca="false">-Q16*Q17</f>
        <v>-771.963295482888</v>
      </c>
      <c r="R18" s="490" t="n">
        <f aca="false">-R16*R17</f>
        <v>-1223.87150679532</v>
      </c>
      <c r="S18" s="490" t="n">
        <f aca="false">-S16*S17</f>
        <v>-1730.89264824198</v>
      </c>
      <c r="T18" s="490" t="n">
        <f aca="false">-T16*T17</f>
        <v>-1784.83378128146</v>
      </c>
      <c r="U18" s="490" t="n">
        <f aca="false">-U16*U17</f>
        <v>-2597.48103533269</v>
      </c>
      <c r="V18" s="490" t="n">
        <f aca="false">-V16*V17</f>
        <v>-3119.52544801422</v>
      </c>
      <c r="W18" s="490" t="n">
        <f aca="false">-W16*W17</f>
        <v>-3532.7653881228</v>
      </c>
      <c r="X18" s="490" t="n">
        <f aca="false">-X16*X17</f>
        <v>-3894.27942209256</v>
      </c>
      <c r="Y18" s="490" t="n">
        <f aca="false">-Y16*Y17</f>
        <v>-4214.37091829848</v>
      </c>
      <c r="Z18" s="490" t="n">
        <f aca="false">-Z16*Z17</f>
        <v>-1417.71445901066</v>
      </c>
      <c r="AA18" s="485" t="n">
        <f aca="false">SUM(E18:Z18)</f>
        <v>-13175.2038880144</v>
      </c>
    </row>
    <row r="19" customFormat="false" ht="12.75" hidden="false" customHeight="false" outlineLevel="0" collapsed="false">
      <c r="A19" s="37" t="s">
        <v>430</v>
      </c>
      <c r="B19" s="39"/>
      <c r="C19" s="39"/>
      <c r="D19" s="39"/>
      <c r="E19" s="174" t="n">
        <f aca="false">SUM(E16,E18)</f>
        <v>0</v>
      </c>
      <c r="F19" s="174" t="n">
        <f aca="false">SUM(F16,F18)</f>
        <v>0</v>
      </c>
      <c r="G19" s="174" t="n">
        <f aca="false">SUM(G16,G18)</f>
        <v>0</v>
      </c>
      <c r="H19" s="174" t="n">
        <f aca="false">SUM(H16,H18)</f>
        <v>-3249.47064156658</v>
      </c>
      <c r="I19" s="174" t="n">
        <f aca="false">SUM(I16,I18)</f>
        <v>-6239.23009917109</v>
      </c>
      <c r="J19" s="174" t="n">
        <f aca="false">SUM(J16,J18)</f>
        <v>-6355.55221918863</v>
      </c>
      <c r="K19" s="174" t="n">
        <f aca="false">SUM(K16,K18)</f>
        <v>-3086.95478348867</v>
      </c>
      <c r="L19" s="174" t="n">
        <f aca="false">SUM(L16,L18)</f>
        <v>-2244.19431026665</v>
      </c>
      <c r="M19" s="174" t="n">
        <f aca="false">SUM(M16,M18)</f>
        <v>-1577.30630137726</v>
      </c>
      <c r="N19" s="174" t="n">
        <f aca="false">SUM(N16,N18)</f>
        <v>-714.966226847667</v>
      </c>
      <c r="O19" s="174" t="n">
        <f aca="false">SUM(O16,O18)</f>
        <v>40.4118123287308</v>
      </c>
      <c r="P19" s="174" t="n">
        <f aca="false">SUM(P16,P18)</f>
        <v>865.532497392069</v>
      </c>
      <c r="Q19" s="174" t="n">
        <f aca="false">SUM(Q16,Q18)</f>
        <v>1567.31941810162</v>
      </c>
      <c r="R19" s="174" t="n">
        <f aca="false">SUM(R16,R18)</f>
        <v>2484.83002894807</v>
      </c>
      <c r="S19" s="174" t="n">
        <f aca="false">SUM(S16,S18)</f>
        <v>3514.23658885492</v>
      </c>
      <c r="T19" s="174" t="n">
        <f aca="false">SUM(T16,T18)</f>
        <v>3623.75343472296</v>
      </c>
      <c r="U19" s="174" t="n">
        <f aca="false">SUM(U16,U18)</f>
        <v>5273.6736171906</v>
      </c>
      <c r="V19" s="174" t="n">
        <f aca="false">SUM(V16,V18)</f>
        <v>6333.58197021069</v>
      </c>
      <c r="W19" s="174" t="n">
        <f aca="false">SUM(W16,W18)</f>
        <v>7172.58427285538</v>
      </c>
      <c r="X19" s="174" t="n">
        <f aca="false">SUM(X16,X18)</f>
        <v>7906.56731152125</v>
      </c>
      <c r="Y19" s="174" t="n">
        <f aca="false">SUM(Y16,Y18)</f>
        <v>8556.45004624238</v>
      </c>
      <c r="Z19" s="174" t="n">
        <f aca="false">SUM(Z16,Z18)</f>
        <v>2878.38996223377</v>
      </c>
      <c r="AA19" s="482" t="n">
        <f aca="false">SUM(E19:Z19)</f>
        <v>26749.6563786959</v>
      </c>
    </row>
    <row r="20" customFormat="false" ht="12.75" hidden="false" customHeight="false" outlineLevel="0" collapsed="false">
      <c r="A20" s="37" t="s">
        <v>431</v>
      </c>
      <c r="B20" s="39"/>
      <c r="C20" s="39"/>
      <c r="D20" s="39"/>
      <c r="E20" s="491" t="n">
        <f aca="false">Assm!$L$68</f>
        <v>0.5</v>
      </c>
      <c r="F20" s="491" t="n">
        <f aca="false">Assm!$L$68</f>
        <v>0.5</v>
      </c>
      <c r="G20" s="491" t="n">
        <f aca="false">Assm!$L$68</f>
        <v>0.5</v>
      </c>
      <c r="H20" s="491" t="n">
        <f aca="false">Assm!$L$68</f>
        <v>0.5</v>
      </c>
      <c r="I20" s="491" t="n">
        <f aca="false">Assm!$L$68</f>
        <v>0.5</v>
      </c>
      <c r="J20" s="491" t="n">
        <f aca="false">Assm!$L$68</f>
        <v>0.5</v>
      </c>
      <c r="K20" s="491" t="n">
        <f aca="false">Assm!$L$68</f>
        <v>0.5</v>
      </c>
      <c r="L20" s="491" t="n">
        <f aca="false">Assm!$L$68</f>
        <v>0.5</v>
      </c>
      <c r="M20" s="491" t="n">
        <f aca="false">Assm!$L$68</f>
        <v>0.5</v>
      </c>
      <c r="N20" s="491" t="n">
        <f aca="false">Assm!$L$68</f>
        <v>0.5</v>
      </c>
      <c r="O20" s="491" t="n">
        <f aca="false">Assm!$L$68</f>
        <v>0.5</v>
      </c>
      <c r="P20" s="491" t="n">
        <f aca="false">Assm!$L$68</f>
        <v>0.5</v>
      </c>
      <c r="Q20" s="491" t="n">
        <f aca="false">Assm!$L$68</f>
        <v>0.5</v>
      </c>
      <c r="R20" s="491" t="n">
        <f aca="false">Assm!$L$68</f>
        <v>0.5</v>
      </c>
      <c r="S20" s="491" t="n">
        <f aca="false">Assm!$L$68</f>
        <v>0.5</v>
      </c>
      <c r="T20" s="491" t="n">
        <f aca="false">Assm!$L$68</f>
        <v>0.5</v>
      </c>
      <c r="U20" s="491" t="n">
        <f aca="false">Assm!$L$68</f>
        <v>0.5</v>
      </c>
      <c r="V20" s="491" t="n">
        <f aca="false">Assm!$L$68</f>
        <v>0.5</v>
      </c>
      <c r="W20" s="491" t="n">
        <f aca="false">Assm!$L$68</f>
        <v>0.5</v>
      </c>
      <c r="X20" s="491" t="n">
        <f aca="false">Assm!$L$68</f>
        <v>0.5</v>
      </c>
      <c r="Y20" s="491" t="n">
        <f aca="false">Assm!$L$68</f>
        <v>0.5</v>
      </c>
      <c r="Z20" s="491" t="n">
        <f aca="false">Assm!$L$68</f>
        <v>0.5</v>
      </c>
      <c r="AA20" s="492"/>
    </row>
    <row r="21" customFormat="false" ht="12.75" hidden="false" customHeight="false" outlineLevel="0" collapsed="false">
      <c r="A21" s="37"/>
      <c r="B21" s="39" t="s">
        <v>432</v>
      </c>
      <c r="C21" s="39"/>
      <c r="D21" s="39"/>
      <c r="E21" s="486" t="n">
        <f aca="false">E19*E20</f>
        <v>0</v>
      </c>
      <c r="F21" s="486" t="n">
        <f aca="false">F19*F20</f>
        <v>0</v>
      </c>
      <c r="G21" s="486" t="n">
        <f aca="false">G19*G20</f>
        <v>0</v>
      </c>
      <c r="H21" s="486" t="n">
        <f aca="false">H19*H20</f>
        <v>-1624.73532078329</v>
      </c>
      <c r="I21" s="486" t="n">
        <f aca="false">I19*I20</f>
        <v>-3119.61504958554</v>
      </c>
      <c r="J21" s="486" t="n">
        <f aca="false">J19*J20</f>
        <v>-3177.77610959431</v>
      </c>
      <c r="K21" s="486" t="n">
        <f aca="false">K19*K20</f>
        <v>-1543.47739174434</v>
      </c>
      <c r="L21" s="486" t="n">
        <f aca="false">L19*L20</f>
        <v>-1122.09715513333</v>
      </c>
      <c r="M21" s="486" t="n">
        <f aca="false">M19*M20</f>
        <v>-788.65315068863</v>
      </c>
      <c r="N21" s="486" t="n">
        <f aca="false">N19*N20</f>
        <v>-357.483113423834</v>
      </c>
      <c r="O21" s="486" t="n">
        <f aca="false">O19*O20</f>
        <v>20.2059061643654</v>
      </c>
      <c r="P21" s="486" t="n">
        <f aca="false">P19*P20</f>
        <v>432.766248696035</v>
      </c>
      <c r="Q21" s="486" t="n">
        <f aca="false">Q19*Q20</f>
        <v>783.65970905081</v>
      </c>
      <c r="R21" s="486" t="n">
        <f aca="false">R19*R20</f>
        <v>1242.41501447404</v>
      </c>
      <c r="S21" s="486" t="n">
        <f aca="false">S19*S20</f>
        <v>1757.11829442746</v>
      </c>
      <c r="T21" s="486" t="n">
        <f aca="false">T19*T20</f>
        <v>1811.87671736148</v>
      </c>
      <c r="U21" s="486" t="n">
        <f aca="false">U19*U20</f>
        <v>2636.8368085953</v>
      </c>
      <c r="V21" s="486" t="n">
        <f aca="false">V19*V20</f>
        <v>3166.79098510534</v>
      </c>
      <c r="W21" s="486" t="n">
        <f aca="false">W19*W20</f>
        <v>3586.29213642769</v>
      </c>
      <c r="X21" s="486" t="n">
        <f aca="false">X19*X20</f>
        <v>3953.28365576063</v>
      </c>
      <c r="Y21" s="486" t="n">
        <f aca="false">Y19*Y20</f>
        <v>4278.22502312119</v>
      </c>
      <c r="Z21" s="486" t="n">
        <f aca="false">Z19*Z20</f>
        <v>1439.19498111688</v>
      </c>
      <c r="AA21" s="482" t="n">
        <f aca="false">SUM(E21:Z21)</f>
        <v>13374.8281893479</v>
      </c>
    </row>
    <row r="22" customFormat="false" ht="12.75" hidden="false" customHeight="false" outlineLevel="0" collapsed="false">
      <c r="A22" s="37"/>
      <c r="B22" s="39"/>
      <c r="C22" s="39"/>
      <c r="D22" s="39"/>
      <c r="E22" s="493"/>
      <c r="F22" s="493"/>
      <c r="G22" s="493"/>
      <c r="H22" s="493"/>
      <c r="I22" s="493"/>
      <c r="J22" s="493"/>
      <c r="K22" s="493"/>
      <c r="L22" s="493"/>
      <c r="M22" s="493"/>
      <c r="N22" s="493"/>
      <c r="O22" s="493"/>
      <c r="P22" s="493"/>
      <c r="Q22" s="493"/>
      <c r="R22" s="493"/>
      <c r="S22" s="493"/>
      <c r="T22" s="493"/>
      <c r="U22" s="493"/>
      <c r="V22" s="493"/>
      <c r="W22" s="493"/>
      <c r="X22" s="493"/>
      <c r="Y22" s="493"/>
      <c r="Z22" s="493"/>
      <c r="AA22" s="492"/>
    </row>
    <row r="23" customFormat="false" ht="12.75" hidden="false" customHeight="false" outlineLevel="0" collapsed="false">
      <c r="A23" s="114" t="s">
        <v>433</v>
      </c>
      <c r="B23" s="39"/>
      <c r="C23" s="39"/>
      <c r="D23" s="39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92"/>
    </row>
    <row r="24" customFormat="false" ht="12.75" hidden="false" customHeight="false" outlineLevel="0" collapsed="false">
      <c r="A24" s="37" t="s">
        <v>384</v>
      </c>
      <c r="B24" s="39"/>
      <c r="C24" s="39"/>
      <c r="D24" s="39"/>
      <c r="E24" s="486" t="n">
        <f aca="false">Returns!E28</f>
        <v>-0</v>
      </c>
      <c r="F24" s="486" t="n">
        <f aca="false">Returns!F28</f>
        <v>-0</v>
      </c>
      <c r="G24" s="486" t="n">
        <f aca="false">Returns!G28</f>
        <v>-0</v>
      </c>
      <c r="H24" s="486" t="n">
        <f aca="false">Returns!H28</f>
        <v>-0</v>
      </c>
      <c r="I24" s="486" t="n">
        <f aca="false">Returns!I28</f>
        <v>-0</v>
      </c>
      <c r="J24" s="486" t="n">
        <f aca="false">Returns!J28</f>
        <v>-0</v>
      </c>
      <c r="K24" s="486" t="n">
        <f aca="false">Returns!K28</f>
        <v>-0</v>
      </c>
      <c r="L24" s="486" t="n">
        <f aca="false">Returns!L28</f>
        <v>-0</v>
      </c>
      <c r="M24" s="486" t="n">
        <f aca="false">Returns!M28</f>
        <v>-0</v>
      </c>
      <c r="N24" s="486" t="n">
        <f aca="false">Returns!N28</f>
        <v>-0</v>
      </c>
      <c r="O24" s="486" t="n">
        <f aca="false">Returns!O28</f>
        <v>-0</v>
      </c>
      <c r="P24" s="486" t="n">
        <f aca="false">Returns!P28</f>
        <v>-0</v>
      </c>
      <c r="Q24" s="486" t="n">
        <f aca="false">Returns!Q28</f>
        <v>-0</v>
      </c>
      <c r="R24" s="486" t="n">
        <f aca="false">Returns!R28</f>
        <v>-0</v>
      </c>
      <c r="S24" s="486" t="n">
        <f aca="false">Returns!S28</f>
        <v>-0</v>
      </c>
      <c r="T24" s="486" t="n">
        <f aca="false">Returns!T28</f>
        <v>-0</v>
      </c>
      <c r="U24" s="486" t="n">
        <f aca="false">Returns!U28</f>
        <v>-0</v>
      </c>
      <c r="V24" s="486" t="n">
        <f aca="false">Returns!V28</f>
        <v>-0</v>
      </c>
      <c r="W24" s="486" t="n">
        <f aca="false">Returns!W28</f>
        <v>-0</v>
      </c>
      <c r="X24" s="486" t="n">
        <f aca="false">Returns!X28</f>
        <v>-0</v>
      </c>
      <c r="Y24" s="486" t="n">
        <f aca="false">Returns!Y28</f>
        <v>-0</v>
      </c>
      <c r="Z24" s="486" t="n">
        <f aca="false">Returns!Z28</f>
        <v>-0</v>
      </c>
      <c r="AA24" s="482" t="n">
        <f aca="false">SUM(E24:Z24)</f>
        <v>0</v>
      </c>
      <c r="AB24" s="483" t="str">
        <f aca="false">IF(SUM(AA24-Returns!AA28)=0," ","Check")</f>
        <v> </v>
      </c>
    </row>
    <row r="25" customFormat="false" ht="12.75" hidden="false" customHeight="false" outlineLevel="0" collapsed="false">
      <c r="A25" s="494" t="s">
        <v>416</v>
      </c>
      <c r="B25" s="39"/>
      <c r="C25" s="495"/>
      <c r="D25" s="311" t="s">
        <v>235</v>
      </c>
      <c r="E25" s="174" t="n">
        <f aca="false">Returns!E31</f>
        <v>0</v>
      </c>
      <c r="F25" s="174" t="n">
        <f aca="false">Returns!F31</f>
        <v>0</v>
      </c>
      <c r="G25" s="174" t="n">
        <f aca="false">Returns!G31</f>
        <v>0</v>
      </c>
      <c r="H25" s="174" t="n">
        <f aca="false">Returns!H31</f>
        <v>-0</v>
      </c>
      <c r="I25" s="174" t="n">
        <f aca="false">Returns!I31</f>
        <v>-0</v>
      </c>
      <c r="J25" s="174" t="n">
        <f aca="false">Returns!J31</f>
        <v>-12.5163203613359</v>
      </c>
      <c r="K25" s="174" t="n">
        <f aca="false">Returns!K31</f>
        <v>-12.5163203613359</v>
      </c>
      <c r="L25" s="174" t="n">
        <f aca="false">Returns!L31</f>
        <v>140.282824532378</v>
      </c>
      <c r="M25" s="174" t="n">
        <f aca="false">Returns!M31</f>
        <v>325.927005859278</v>
      </c>
      <c r="N25" s="174" t="n">
        <f aca="false">Returns!N31</f>
        <v>474.403023897357</v>
      </c>
      <c r="O25" s="174" t="n">
        <f aca="false">Returns!O31</f>
        <v>633.985110769362</v>
      </c>
      <c r="P25" s="174" t="n">
        <f aca="false">Returns!P31</f>
        <v>796.813458694186</v>
      </c>
      <c r="Q25" s="174" t="n">
        <f aca="false">Returns!Q31</f>
        <v>948.322106082997</v>
      </c>
      <c r="R25" s="174" t="n">
        <f aca="false">Returns!R31</f>
        <v>975.083403185151</v>
      </c>
      <c r="S25" s="174" t="n">
        <f aca="false">Returns!S31</f>
        <v>933.118206220219</v>
      </c>
      <c r="T25" s="174" t="n">
        <f aca="false">Returns!T31</f>
        <v>901.966831166044</v>
      </c>
      <c r="U25" s="174" t="n">
        <f aca="false">Returns!U31</f>
        <v>880.915481479316</v>
      </c>
      <c r="V25" s="174" t="n">
        <f aca="false">Returns!V31</f>
        <v>761.993162289407</v>
      </c>
      <c r="W25" s="174" t="n">
        <f aca="false">Returns!W31</f>
        <v>606.563302671816</v>
      </c>
      <c r="X25" s="174" t="n">
        <f aca="false">Returns!X31</f>
        <v>372.410108868777</v>
      </c>
      <c r="Y25" s="174" t="n">
        <f aca="false">Returns!Y31</f>
        <v>-18.8127180148864</v>
      </c>
      <c r="Z25" s="174" t="n">
        <f aca="false">Returns!Z31</f>
        <v>-295.326489627694</v>
      </c>
      <c r="AA25" s="482" t="n">
        <f aca="false">SUM(E25:Z25)</f>
        <v>8412.61217735104</v>
      </c>
      <c r="AB25" s="483" t="str">
        <f aca="false">IF(SUM(AA25,-Returns!AA31)=0," ","Check")</f>
        <v> </v>
      </c>
    </row>
    <row r="26" customFormat="false" ht="12.75" hidden="false" customHeight="false" outlineLevel="0" collapsed="false">
      <c r="A26" s="37" t="s">
        <v>434</v>
      </c>
      <c r="B26" s="39"/>
      <c r="C26" s="39"/>
      <c r="D26" s="311" t="s">
        <v>235</v>
      </c>
      <c r="E26" s="174" t="n">
        <f aca="false">(Returns!$AA$34-$AA$27)/Term*E$9/12</f>
        <v>0</v>
      </c>
      <c r="F26" s="174" t="n">
        <f aca="false">(Returns!$AA$34-$AA$27)/Term*F$9/12</f>
        <v>0</v>
      </c>
      <c r="G26" s="174" t="n">
        <f aca="false">(Returns!$AA$34-$AA$27)/Term*G$9/12</f>
        <v>0</v>
      </c>
      <c r="H26" s="174" t="n">
        <f aca="false">(Returns!$AA$34-$AA$27)/Term*H$9/12</f>
        <v>0</v>
      </c>
      <c r="I26" s="174" t="n">
        <f aca="false">(Returns!$AA$34-$AA$27)/Term*I$9/12</f>
        <v>0</v>
      </c>
      <c r="J26" s="174" t="n">
        <f aca="false">(Returns!$AA$34-$AA$27)/Term*J$9/12</f>
        <v>0</v>
      </c>
      <c r="K26" s="174" t="n">
        <f aca="false">(Returns!$AA$34-$AA$27)/Term*K$9/12</f>
        <v>0</v>
      </c>
      <c r="L26" s="174" t="n">
        <f aca="false">(Returns!$AA$34-$AA$27)/Term*L$9/12</f>
        <v>0</v>
      </c>
      <c r="M26" s="174" t="n">
        <f aca="false">(Returns!$AA$34-$AA$27)/Term*M$9/12</f>
        <v>0</v>
      </c>
      <c r="N26" s="174" t="n">
        <f aca="false">(Returns!$AA$34-$AA$27)/Term*N$9/12</f>
        <v>0</v>
      </c>
      <c r="O26" s="174" t="n">
        <f aca="false">(Returns!$AA$34-$AA$27)/Term*O$9/12</f>
        <v>0</v>
      </c>
      <c r="P26" s="174" t="n">
        <f aca="false">(Returns!$AA$34-$AA$27)/Term*P$9/12</f>
        <v>0</v>
      </c>
      <c r="Q26" s="174" t="n">
        <f aca="false">(Returns!$AA$34-$AA$27)/Term*Q$9/12</f>
        <v>0</v>
      </c>
      <c r="R26" s="174" t="n">
        <f aca="false">(Returns!$AA$34-$AA$27)/Term*R$9/12</f>
        <v>0</v>
      </c>
      <c r="S26" s="174" t="n">
        <f aca="false">(Returns!$AA$34-$AA$27)/Term*S$9/12</f>
        <v>0</v>
      </c>
      <c r="T26" s="174" t="n">
        <f aca="false">(Returns!$AA$34-$AA$27)/Term*T$9/12</f>
        <v>0</v>
      </c>
      <c r="U26" s="174" t="n">
        <f aca="false">(Returns!$AA$34-$AA$27)/Term*U$9/12</f>
        <v>0</v>
      </c>
      <c r="V26" s="174" t="n">
        <f aca="false">(Returns!$AA$34-$AA$27)/Term*V$9/12</f>
        <v>0</v>
      </c>
      <c r="W26" s="174" t="n">
        <f aca="false">(Returns!$AA$34-$AA$27)/Term*W$9/12</f>
        <v>0</v>
      </c>
      <c r="X26" s="174" t="n">
        <f aca="false">(Returns!$AA$34-$AA$27)/Term*X$9/12</f>
        <v>0</v>
      </c>
      <c r="Y26" s="174" t="n">
        <f aca="false">(Returns!$AA$34-$AA$27)/Term*Y$9/12</f>
        <v>0</v>
      </c>
      <c r="Z26" s="174" t="n">
        <f aca="false">(Returns!$AA$34-$AA$27)/Term*Z$9/12</f>
        <v>0</v>
      </c>
      <c r="AA26" s="482" t="n">
        <f aca="false">SUM(E26:Z26)</f>
        <v>0</v>
      </c>
      <c r="AB26" s="483" t="str">
        <f aca="false">IF(SUM(AA26,AA26,-Returns!AA34)=0," ","Check")</f>
        <v> </v>
      </c>
    </row>
    <row r="27" customFormat="false" ht="12.75" hidden="false" customHeight="false" outlineLevel="0" collapsed="false">
      <c r="A27" s="37" t="s">
        <v>435</v>
      </c>
      <c r="B27" s="39"/>
      <c r="C27" s="39"/>
      <c r="D27" s="311" t="s">
        <v>235</v>
      </c>
      <c r="E27" s="174" t="n">
        <f aca="false">Returns!E34*(1-Returns!$A$27)</f>
        <v>0</v>
      </c>
      <c r="F27" s="174" t="n">
        <f aca="false">Returns!F34*(1-Returns!$A$27)</f>
        <v>0</v>
      </c>
      <c r="G27" s="174" t="n">
        <f aca="false">Returns!G34*(1-Returns!$A$27)</f>
        <v>0</v>
      </c>
      <c r="H27" s="174" t="n">
        <f aca="false">Returns!H34*(1-Returns!$A$27)</f>
        <v>0</v>
      </c>
      <c r="I27" s="174" t="n">
        <f aca="false">Returns!I34*(1-Returns!$A$27)</f>
        <v>0</v>
      </c>
      <c r="J27" s="174" t="n">
        <f aca="false">Returns!J34*(1-Returns!$A$27)</f>
        <v>0</v>
      </c>
      <c r="K27" s="174" t="n">
        <f aca="false">Returns!K34*(1-Returns!$A$27)</f>
        <v>0</v>
      </c>
      <c r="L27" s="174" t="n">
        <f aca="false">Returns!L34*(1-Returns!$A$27)</f>
        <v>0</v>
      </c>
      <c r="M27" s="174" t="n">
        <f aca="false">Returns!M34*(1-Returns!$A$27)</f>
        <v>0</v>
      </c>
      <c r="N27" s="174" t="n">
        <f aca="false">Returns!N34*(1-Returns!$A$27)</f>
        <v>0</v>
      </c>
      <c r="O27" s="174" t="n">
        <f aca="false">Returns!O34*(1-Returns!$A$27)</f>
        <v>0</v>
      </c>
      <c r="P27" s="174" t="n">
        <f aca="false">Returns!P34*(1-Returns!$A$27)</f>
        <v>0</v>
      </c>
      <c r="Q27" s="174" t="n">
        <f aca="false">Returns!Q34*(1-Returns!$A$27)</f>
        <v>0</v>
      </c>
      <c r="R27" s="174" t="n">
        <f aca="false">Returns!R34*(1-Returns!$A$27)</f>
        <v>0</v>
      </c>
      <c r="S27" s="174" t="n">
        <f aca="false">Returns!S34*(1-Returns!$A$27)</f>
        <v>0</v>
      </c>
      <c r="T27" s="174" t="n">
        <f aca="false">Returns!T34*(1-Returns!$A$27)</f>
        <v>0</v>
      </c>
      <c r="U27" s="174" t="n">
        <f aca="false">Returns!U34*(1-Returns!$A$27)</f>
        <v>0</v>
      </c>
      <c r="V27" s="174" t="n">
        <f aca="false">Returns!V34*(1-Returns!$A$27)</f>
        <v>0</v>
      </c>
      <c r="W27" s="174" t="n">
        <f aca="false">Returns!W34*(1-Returns!$A$27)</f>
        <v>0</v>
      </c>
      <c r="X27" s="174" t="n">
        <f aca="false">Returns!X34*(1-Returns!$A$27)</f>
        <v>0</v>
      </c>
      <c r="Y27" s="174" t="n">
        <f aca="false">Returns!Y34*(1-Returns!$A$27)</f>
        <v>0</v>
      </c>
      <c r="Z27" s="174" t="n">
        <f aca="false">Returns!Z34*(1-Returns!$A$27)</f>
        <v>0</v>
      </c>
      <c r="AA27" s="482" t="n">
        <f aca="false">SUM(E27:Z27)</f>
        <v>0</v>
      </c>
    </row>
    <row r="28" customFormat="false" ht="12.75" hidden="false" customHeight="false" outlineLevel="0" collapsed="false">
      <c r="A28" s="494" t="s">
        <v>389</v>
      </c>
      <c r="B28" s="39"/>
      <c r="C28" s="495"/>
      <c r="D28" s="311" t="s">
        <v>235</v>
      </c>
      <c r="E28" s="174" t="n">
        <f aca="false">IF(E$7&lt;YEAR(Startops1),0,HLOOKUP(E$7,CF_Table,CF!$AB$28))</f>
        <v>0</v>
      </c>
      <c r="F28" s="174" t="n">
        <f aca="false">IF(F$7&lt;YEAR(Startops1),0,HLOOKUP(F$7,CF_Table,CF!$AB$28))</f>
        <v>0</v>
      </c>
      <c r="G28" s="174" t="n">
        <f aca="false">IF(G$7&lt;YEAR(Startops1),0,HLOOKUP(G$7,CF_Table,CF!$AB$28))</f>
        <v>0</v>
      </c>
      <c r="H28" s="174" t="n">
        <f aca="false">IF(H$7&lt;YEAR(Startops1),0,HLOOKUP(H$7,CF_Table,CF!$AB$28))</f>
        <v>154.804870588885</v>
      </c>
      <c r="I28" s="174" t="n">
        <f aca="false">IF(I$7&lt;YEAR(Startops1),0,HLOOKUP(I$7,CF_Table,CF!$AB$28))</f>
        <v>191.693466183737</v>
      </c>
      <c r="J28" s="174" t="n">
        <f aca="false">IF(J$7&lt;YEAR(Startops1),0,HLOOKUP(J$7,CF_Table,CF!$AB$28))</f>
        <v>197.466392320116</v>
      </c>
      <c r="K28" s="174" t="n">
        <f aca="false">IF(K$7&lt;YEAR(Startops1),0,HLOOKUP(K$7,CF_Table,CF!$AB$28))</f>
        <v>203.233546487419</v>
      </c>
      <c r="L28" s="174" t="n">
        <f aca="false">IF(L$7&lt;YEAR(Startops1),0,HLOOKUP(L$7,CF_Table,CF!$AB$28))</f>
        <v>209.036479853836</v>
      </c>
      <c r="M28" s="174" t="n">
        <f aca="false">IF(M$7&lt;YEAR(Startops1),0,HLOOKUP(M$7,CF_Table,CF!$AB$28))</f>
        <v>214.889259191032</v>
      </c>
      <c r="N28" s="174" t="n">
        <f aca="false">IF(N$7&lt;YEAR(Startops1),0,HLOOKUP(N$7,CF_Table,CF!$AB$28))</f>
        <v>220.765337093797</v>
      </c>
      <c r="O28" s="174" t="n">
        <f aca="false">IF(O$7&lt;YEAR(Startops1),0,HLOOKUP(O$7,CF_Table,CF!$AB$28))</f>
        <v>226.671482211106</v>
      </c>
      <c r="P28" s="174" t="n">
        <f aca="false">IF(P$7&lt;YEAR(Startops1),0,HLOOKUP(P$7,CF_Table,CF!$AB$28))</f>
        <v>232.626394165952</v>
      </c>
      <c r="Q28" s="174" t="n">
        <f aca="false">IF(Q$7&lt;YEAR(Startops1),0,HLOOKUP(Q$7,CF_Table,CF!$AB$28))</f>
        <v>238.637592150263</v>
      </c>
      <c r="R28" s="174" t="n">
        <f aca="false">IF(R$7&lt;YEAR(Startops1),0,HLOOKUP(R$7,CF_Table,CF!$AB$28))</f>
        <v>244.717288449503</v>
      </c>
      <c r="S28" s="174" t="n">
        <f aca="false">IF(S$7&lt;YEAR(Startops1),0,HLOOKUP(S$7,CF_Table,CF!$AB$28))</f>
        <v>250.887979462834</v>
      </c>
      <c r="T28" s="174" t="n">
        <f aca="false">IF(T$7&lt;YEAR(Startops1),0,HLOOKUP(T$7,CF_Table,CF!$AB$28))</f>
        <v>257.186741144129</v>
      </c>
      <c r="U28" s="174" t="n">
        <f aca="false">IF(U$7&lt;YEAR(Startops1),0,HLOOKUP(U$7,CF_Table,CF!$AB$28))</f>
        <v>263.686141653856</v>
      </c>
      <c r="V28" s="174" t="n">
        <f aca="false">IF(V$7&lt;YEAR(Startops1),0,HLOOKUP(V$7,CF_Table,CF!$AB$28))</f>
        <v>270.447204387066</v>
      </c>
      <c r="W28" s="174" t="n">
        <f aca="false">IF(W$7&lt;YEAR(Startops1),0,HLOOKUP(W$7,CF_Table,CF!$AB$28))</f>
        <v>277.499564960254</v>
      </c>
      <c r="X28" s="174" t="n">
        <f aca="false">IF(X$7&lt;YEAR(Startops1),0,HLOOKUP(X$7,CF_Table,CF!$AB$28))</f>
        <v>284.875346656415</v>
      </c>
      <c r="Y28" s="174" t="n">
        <f aca="false">IF(Y$7&lt;YEAR(Startops1),0,HLOOKUP(Y$7,CF_Table,CF!$AB$28))</f>
        <v>292.57339247806</v>
      </c>
      <c r="Z28" s="174" t="n">
        <f aca="false">IF(Z$7&lt;YEAR(Startops1),0,HLOOKUP(Z$7,CF_Table,CF!$AB$28))</f>
        <v>100.200858055483</v>
      </c>
      <c r="AA28" s="482" t="n">
        <f aca="false">SUM(E28:Z28)</f>
        <v>4331.89933749374</v>
      </c>
    </row>
    <row r="29" customFormat="false" ht="12.75" hidden="false" customHeight="false" outlineLevel="0" collapsed="false">
      <c r="A29" s="496" t="s">
        <v>261</v>
      </c>
      <c r="B29" s="108"/>
      <c r="C29" s="497"/>
      <c r="D29" s="498" t="s">
        <v>235</v>
      </c>
      <c r="E29" s="499" t="n">
        <f aca="false">IF(E$7&gt;=YEAR(Startops1),-Assm!$R$82/$AA$9*E9,0)</f>
        <v>0</v>
      </c>
      <c r="F29" s="499" t="n">
        <f aca="false">IF(F$7&gt;=YEAR(Startops1),-Assm!$R$82/$AA$9*F9,0)</f>
        <v>0</v>
      </c>
      <c r="G29" s="499" t="n">
        <f aca="false">IF(G$7&gt;=YEAR(Startops1),-Assm!$R$82/$AA$9*G9,0)</f>
        <v>0</v>
      </c>
      <c r="H29" s="499" t="n">
        <f aca="false">IF(H$7&gt;=YEAR(Startops1),-Assm!$R$82/$AA$9*H9,0)</f>
        <v>-5.29798924469795</v>
      </c>
      <c r="I29" s="499" t="n">
        <f aca="false">IF(I$7&gt;=YEAR(Startops1),-Assm!$R$82/$AA$9*I9,0)</f>
        <v>-6.35758709363754</v>
      </c>
      <c r="J29" s="499" t="n">
        <f aca="false">IF(J$7&gt;=YEAR(Startops1),-Assm!$R$82/$AA$9*J9,0)</f>
        <v>-6.35758709363754</v>
      </c>
      <c r="K29" s="499" t="n">
        <f aca="false">IF(K$7&gt;=YEAR(Startops1),-Assm!$R$82/$AA$9*K9,0)</f>
        <v>-6.35758709363754</v>
      </c>
      <c r="L29" s="499" t="n">
        <f aca="false">IF(L$7&gt;=YEAR(Startops1),-Assm!$R$82/$AA$9*L9,0)</f>
        <v>-6.35758709363754</v>
      </c>
      <c r="M29" s="499" t="n">
        <f aca="false">IF(M$7&gt;=YEAR(Startops1),-Assm!$R$82/$AA$9*M9,0)</f>
        <v>-6.35758709363754</v>
      </c>
      <c r="N29" s="499" t="n">
        <f aca="false">IF(N$7&gt;=YEAR(Startops1),-Assm!$R$82/$AA$9*N9,0)</f>
        <v>-6.35758709363754</v>
      </c>
      <c r="O29" s="499" t="n">
        <f aca="false">IF(O$7&gt;=YEAR(Startops1),-Assm!$R$82/$AA$9*O9,0)</f>
        <v>-6.35758709363754</v>
      </c>
      <c r="P29" s="499" t="n">
        <f aca="false">IF(P$7&gt;=YEAR(Startops1),-Assm!$R$82/$AA$9*P9,0)</f>
        <v>-6.35758709363754</v>
      </c>
      <c r="Q29" s="499" t="n">
        <f aca="false">IF(Q$7&gt;=YEAR(Startops1),-Assm!$R$82/$AA$9*Q9,0)</f>
        <v>-6.35758709363754</v>
      </c>
      <c r="R29" s="499" t="n">
        <f aca="false">IF(R$7&gt;=YEAR(Startops1),-Assm!$R$82/$AA$9*R9,0)</f>
        <v>-6.35758709363754</v>
      </c>
      <c r="S29" s="499" t="n">
        <f aca="false">IF(S$7&gt;=YEAR(Startops1),-Assm!$R$82/$AA$9*S9,0)</f>
        <v>-6.35758709363754</v>
      </c>
      <c r="T29" s="499" t="n">
        <f aca="false">IF(T$7&gt;=YEAR(Startops1),-Assm!$R$82/$AA$9*T9,0)</f>
        <v>-6.35758709363754</v>
      </c>
      <c r="U29" s="499" t="n">
        <f aca="false">IF(U$7&gt;=YEAR(Startops1),-Assm!$R$82/$AA$9*U9,0)</f>
        <v>-6.35758709363754</v>
      </c>
      <c r="V29" s="499" t="n">
        <f aca="false">IF(V$7&gt;=YEAR(Startops1),-Assm!$R$82/$AA$9*V9,0)</f>
        <v>-6.35758709363754</v>
      </c>
      <c r="W29" s="499" t="n">
        <f aca="false">IF(W$7&gt;=YEAR(Startops1),-Assm!$R$82/$AA$9*W9,0)</f>
        <v>-6.35758709363754</v>
      </c>
      <c r="X29" s="499" t="n">
        <f aca="false">IF(X$7&gt;=YEAR(Startops1),-Assm!$R$82/$AA$9*X9,0)</f>
        <v>-6.35758709363754</v>
      </c>
      <c r="Y29" s="499" t="n">
        <f aca="false">IF(Y$7&gt;=YEAR(Startops1),-Assm!$R$82/$AA$9*Y9,0)</f>
        <v>-6.35758709363754</v>
      </c>
      <c r="Z29" s="499" t="n">
        <f aca="false">IF(Z$7&gt;=YEAR(Startops1),-Assm!$R$82/$AA$9*Z9,0)</f>
        <v>-2.11919569787918</v>
      </c>
      <c r="AA29" s="500" t="n">
        <f aca="false">SUM(E29:Z29)</f>
        <v>-115.496165534415</v>
      </c>
      <c r="AB29" s="352"/>
      <c r="AC29" s="352"/>
      <c r="AD29" s="352"/>
      <c r="AE29" s="352"/>
      <c r="AF29" s="352"/>
      <c r="AG29" s="352"/>
      <c r="AH29" s="352"/>
      <c r="AI29" s="35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  <c r="BC29" s="352"/>
      <c r="BD29" s="352"/>
      <c r="BE29" s="352"/>
      <c r="BF29" s="352"/>
      <c r="BG29" s="352"/>
      <c r="BH29" s="352"/>
      <c r="BI29" s="352"/>
      <c r="BJ29" s="352"/>
      <c r="BK29" s="352"/>
      <c r="BL29" s="352"/>
      <c r="BM29" s="352"/>
      <c r="BN29" s="352"/>
      <c r="BO29" s="352"/>
      <c r="BP29" s="352"/>
      <c r="BQ29" s="352"/>
      <c r="BR29" s="352"/>
      <c r="BS29" s="352"/>
      <c r="BT29" s="352"/>
      <c r="BU29" s="352"/>
      <c r="BV29" s="352"/>
      <c r="BW29" s="352"/>
      <c r="BX29" s="352"/>
      <c r="BY29" s="352"/>
      <c r="BZ29" s="352"/>
      <c r="CA29" s="352"/>
      <c r="CB29" s="352"/>
      <c r="CC29" s="352"/>
      <c r="CD29" s="352"/>
      <c r="CE29" s="352"/>
      <c r="CF29" s="352"/>
      <c r="CG29" s="352"/>
      <c r="CH29" s="352"/>
      <c r="CI29" s="352"/>
      <c r="CJ29" s="352"/>
      <c r="CK29" s="352"/>
      <c r="CL29" s="352"/>
      <c r="CM29" s="352"/>
      <c r="CN29" s="352"/>
      <c r="CO29" s="352"/>
      <c r="CP29" s="352"/>
      <c r="CQ29" s="352"/>
      <c r="CR29" s="352"/>
      <c r="CS29" s="352"/>
      <c r="CT29" s="352"/>
      <c r="CU29" s="352"/>
      <c r="CV29" s="352"/>
      <c r="CW29" s="352"/>
      <c r="CX29" s="352"/>
      <c r="CY29" s="352"/>
      <c r="CZ29" s="352"/>
      <c r="DA29" s="352"/>
      <c r="DB29" s="352"/>
      <c r="DC29" s="352"/>
      <c r="DD29" s="352"/>
      <c r="DE29" s="352"/>
      <c r="DF29" s="352"/>
      <c r="DG29" s="352"/>
      <c r="DH29" s="352"/>
      <c r="DI29" s="352"/>
      <c r="DJ29" s="352"/>
      <c r="DK29" s="352"/>
      <c r="DL29" s="352"/>
      <c r="DM29" s="352"/>
      <c r="DN29" s="352"/>
      <c r="DO29" s="352"/>
      <c r="DP29" s="352"/>
      <c r="DQ29" s="352"/>
      <c r="DR29" s="352"/>
      <c r="DS29" s="352"/>
      <c r="DT29" s="352"/>
      <c r="DU29" s="352"/>
      <c r="DV29" s="352"/>
      <c r="DW29" s="352"/>
      <c r="DX29" s="352"/>
      <c r="DY29" s="352"/>
      <c r="DZ29" s="352"/>
      <c r="EA29" s="352"/>
      <c r="EB29" s="352"/>
      <c r="EC29" s="352"/>
      <c r="ED29" s="352"/>
      <c r="EE29" s="352"/>
      <c r="EF29" s="352"/>
      <c r="EG29" s="352"/>
      <c r="EH29" s="352"/>
      <c r="EI29" s="352"/>
      <c r="EJ29" s="352"/>
      <c r="EK29" s="352"/>
      <c r="EL29" s="352"/>
      <c r="EM29" s="352"/>
      <c r="EN29" s="352"/>
      <c r="EO29" s="352"/>
      <c r="EP29" s="352"/>
      <c r="EQ29" s="352"/>
      <c r="ER29" s="352"/>
      <c r="ES29" s="352"/>
      <c r="ET29" s="352"/>
      <c r="EU29" s="352"/>
      <c r="EV29" s="352"/>
      <c r="EW29" s="352"/>
      <c r="EX29" s="352"/>
      <c r="EY29" s="352"/>
      <c r="EZ29" s="352"/>
      <c r="FA29" s="352"/>
      <c r="FB29" s="352"/>
      <c r="FC29" s="352"/>
      <c r="FD29" s="352"/>
      <c r="FE29" s="352"/>
      <c r="FF29" s="352"/>
      <c r="FG29" s="352"/>
      <c r="FH29" s="352"/>
      <c r="FI29" s="352"/>
      <c r="FJ29" s="352"/>
      <c r="FK29" s="352"/>
      <c r="FL29" s="352"/>
      <c r="FM29" s="352"/>
      <c r="FN29" s="352"/>
      <c r="FO29" s="352"/>
      <c r="FP29" s="352"/>
      <c r="FQ29" s="352"/>
      <c r="FR29" s="352"/>
      <c r="FS29" s="352"/>
      <c r="FT29" s="352"/>
      <c r="FU29" s="352"/>
      <c r="FV29" s="352"/>
      <c r="FW29" s="352"/>
      <c r="FX29" s="352"/>
      <c r="FY29" s="352"/>
      <c r="FZ29" s="352"/>
      <c r="GA29" s="352"/>
      <c r="GB29" s="352"/>
      <c r="GC29" s="352"/>
      <c r="GD29" s="352"/>
      <c r="GE29" s="352"/>
      <c r="GF29" s="352"/>
      <c r="GG29" s="352"/>
      <c r="GH29" s="352"/>
      <c r="GI29" s="352"/>
      <c r="GJ29" s="352"/>
      <c r="GK29" s="352"/>
      <c r="GL29" s="352"/>
      <c r="GM29" s="352"/>
      <c r="GN29" s="352"/>
      <c r="GO29" s="352"/>
      <c r="GP29" s="352"/>
      <c r="GQ29" s="352"/>
      <c r="GR29" s="352"/>
      <c r="GS29" s="352"/>
      <c r="GT29" s="352"/>
      <c r="GU29" s="352"/>
      <c r="GV29" s="352"/>
      <c r="GW29" s="352"/>
      <c r="GX29" s="352"/>
      <c r="GY29" s="352"/>
      <c r="GZ29" s="352"/>
      <c r="HA29" s="352"/>
      <c r="HB29" s="352"/>
      <c r="HC29" s="352"/>
      <c r="HD29" s="352"/>
      <c r="HE29" s="352"/>
      <c r="HF29" s="352"/>
      <c r="HG29" s="352"/>
      <c r="HH29" s="352"/>
      <c r="HI29" s="352"/>
      <c r="HJ29" s="352"/>
      <c r="HK29" s="352"/>
      <c r="HL29" s="352"/>
      <c r="HM29" s="352"/>
      <c r="HN29" s="352"/>
      <c r="HO29" s="352"/>
      <c r="HP29" s="352"/>
      <c r="HQ29" s="352"/>
      <c r="HR29" s="352"/>
      <c r="HS29" s="352"/>
      <c r="HT29" s="352"/>
      <c r="HU29" s="352"/>
      <c r="HV29" s="352"/>
      <c r="HW29" s="352"/>
      <c r="HX29" s="352"/>
      <c r="HY29" s="352"/>
      <c r="HZ29" s="352"/>
      <c r="IA29" s="352"/>
      <c r="IB29" s="352"/>
      <c r="IC29" s="352"/>
      <c r="ID29" s="352"/>
      <c r="IE29" s="352"/>
      <c r="IF29" s="352"/>
      <c r="IG29" s="352"/>
      <c r="IH29" s="352"/>
      <c r="II29" s="352"/>
      <c r="IJ29" s="352"/>
      <c r="IK29" s="352"/>
      <c r="IL29" s="352"/>
      <c r="IM29" s="352"/>
      <c r="IN29" s="352"/>
      <c r="IO29" s="352"/>
      <c r="IP29" s="352"/>
      <c r="IQ29" s="352"/>
      <c r="IR29" s="352"/>
      <c r="IS29" s="352"/>
      <c r="IT29" s="352"/>
      <c r="IU29" s="352"/>
      <c r="IV29" s="352"/>
      <c r="IW29" s="352"/>
    </row>
    <row r="30" customFormat="false" ht="12.75" hidden="false" customHeight="false" outlineLevel="0" collapsed="false">
      <c r="A30" s="496" t="s">
        <v>264</v>
      </c>
      <c r="B30" s="108"/>
      <c r="C30" s="497"/>
      <c r="D30" s="498" t="s">
        <v>235</v>
      </c>
      <c r="E30" s="499" t="n">
        <f aca="false">IF(E$7&gt;=YEAR(Startops1),-Assm!$R$83/$AA$9*E9,0)</f>
        <v>0</v>
      </c>
      <c r="F30" s="499" t="n">
        <f aca="false">IF(F$7&gt;=YEAR(Startops1),-Assm!$R$83/$AA$9*F9,0)</f>
        <v>0</v>
      </c>
      <c r="G30" s="499" t="n">
        <f aca="false">IF(G$7&gt;=YEAR(Startops1),-Assm!$R$83/$AA$9*G9,0)</f>
        <v>0</v>
      </c>
      <c r="H30" s="499" t="n">
        <f aca="false">IF(H$7&gt;=YEAR(Startops1),-Assm!$R$83/$AA$9*H9,0)</f>
        <v>-40.4587155963303</v>
      </c>
      <c r="I30" s="499" t="n">
        <f aca="false">IF(I$7&gt;=YEAR(Startops1),-Assm!$R$83/$AA$9*I9,0)</f>
        <v>-48.5504587155963</v>
      </c>
      <c r="J30" s="499" t="n">
        <f aca="false">IF(J$7&gt;=YEAR(Startops1),-Assm!$R$83/$AA$9*J9,0)</f>
        <v>-48.5504587155963</v>
      </c>
      <c r="K30" s="499" t="n">
        <f aca="false">IF(K$7&gt;=YEAR(Startops1),-Assm!$R$83/$AA$9*K9,0)</f>
        <v>-48.5504587155963</v>
      </c>
      <c r="L30" s="499" t="n">
        <f aca="false">IF(L$7&gt;=YEAR(Startops1),-Assm!$R$83/$AA$9*L9,0)</f>
        <v>-48.5504587155963</v>
      </c>
      <c r="M30" s="499" t="n">
        <f aca="false">IF(M$7&gt;=YEAR(Startops1),-Assm!$R$83/$AA$9*M9,0)</f>
        <v>-48.5504587155963</v>
      </c>
      <c r="N30" s="499" t="n">
        <f aca="false">IF(N$7&gt;=YEAR(Startops1),-Assm!$R$83/$AA$9*N9,0)</f>
        <v>-48.5504587155963</v>
      </c>
      <c r="O30" s="499" t="n">
        <f aca="false">IF(O$7&gt;=YEAR(Startops1),-Assm!$R$83/$AA$9*O9,0)</f>
        <v>-48.5504587155963</v>
      </c>
      <c r="P30" s="499" t="n">
        <f aca="false">IF(P$7&gt;=YEAR(Startops1),-Assm!$R$83/$AA$9*P9,0)</f>
        <v>-48.5504587155963</v>
      </c>
      <c r="Q30" s="499" t="n">
        <f aca="false">IF(Q$7&gt;=YEAR(Startops1),-Assm!$R$83/$AA$9*Q9,0)</f>
        <v>-48.5504587155963</v>
      </c>
      <c r="R30" s="499" t="n">
        <f aca="false">IF(R$7&gt;=YEAR(Startops1),-Assm!$R$83/$AA$9*R9,0)</f>
        <v>-48.5504587155963</v>
      </c>
      <c r="S30" s="499" t="n">
        <f aca="false">IF(S$7&gt;=YEAR(Startops1),-Assm!$R$83/$AA$9*S9,0)</f>
        <v>-48.5504587155963</v>
      </c>
      <c r="T30" s="499" t="n">
        <f aca="false">IF(T$7&gt;=YEAR(Startops1),-Assm!$R$83/$AA$9*T9,0)</f>
        <v>-48.5504587155963</v>
      </c>
      <c r="U30" s="499" t="n">
        <f aca="false">IF(U$7&gt;=YEAR(Startops1),-Assm!$R$83/$AA$9*U9,0)</f>
        <v>-48.5504587155963</v>
      </c>
      <c r="V30" s="499" t="n">
        <f aca="false">IF(V$7&gt;=YEAR(Startops1),-Assm!$R$83/$AA$9*V9,0)</f>
        <v>-48.5504587155963</v>
      </c>
      <c r="W30" s="499" t="n">
        <f aca="false">IF(W$7&gt;=YEAR(Startops1),-Assm!$R$83/$AA$9*W9,0)</f>
        <v>-48.5504587155963</v>
      </c>
      <c r="X30" s="499" t="n">
        <f aca="false">IF(X$7&gt;=YEAR(Startops1),-Assm!$R$83/$AA$9*X9,0)</f>
        <v>-48.5504587155963</v>
      </c>
      <c r="Y30" s="499" t="n">
        <f aca="false">IF(Y$7&gt;=YEAR(Startops1),-Assm!$R$83/$AA$9*Y9,0)</f>
        <v>-48.5504587155963</v>
      </c>
      <c r="Z30" s="499" t="n">
        <f aca="false">IF(Z$7&gt;=YEAR(Startops1),-Assm!$R$83/$AA$9*Z9,0)</f>
        <v>-16.1834862385321</v>
      </c>
      <c r="AA30" s="500" t="n">
        <f aca="false">SUM(E30:Z30)</f>
        <v>-882</v>
      </c>
      <c r="AB30" s="352"/>
      <c r="AC30" s="352"/>
      <c r="AD30" s="352"/>
      <c r="AE30" s="352"/>
      <c r="AF30" s="352"/>
      <c r="AG30" s="352"/>
      <c r="AH30" s="352"/>
      <c r="AI30" s="35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  <c r="BC30" s="352"/>
      <c r="BD30" s="352"/>
      <c r="BE30" s="352"/>
      <c r="BF30" s="352"/>
      <c r="BG30" s="352"/>
      <c r="BH30" s="352"/>
      <c r="BI30" s="352"/>
      <c r="BJ30" s="352"/>
      <c r="BK30" s="352"/>
      <c r="BL30" s="352"/>
      <c r="BM30" s="352"/>
      <c r="BN30" s="352"/>
      <c r="BO30" s="352"/>
      <c r="BP30" s="352"/>
      <c r="BQ30" s="352"/>
      <c r="BR30" s="352"/>
      <c r="BS30" s="352"/>
      <c r="BT30" s="352"/>
      <c r="BU30" s="352"/>
      <c r="BV30" s="352"/>
      <c r="BW30" s="352"/>
      <c r="BX30" s="352"/>
      <c r="BY30" s="352"/>
      <c r="BZ30" s="352"/>
      <c r="CA30" s="352"/>
      <c r="CB30" s="352"/>
      <c r="CC30" s="352"/>
      <c r="CD30" s="352"/>
      <c r="CE30" s="352"/>
      <c r="CF30" s="352"/>
      <c r="CG30" s="352"/>
      <c r="CH30" s="352"/>
      <c r="CI30" s="352"/>
      <c r="CJ30" s="352"/>
      <c r="CK30" s="352"/>
      <c r="CL30" s="352"/>
      <c r="CM30" s="352"/>
      <c r="CN30" s="352"/>
      <c r="CO30" s="352"/>
      <c r="CP30" s="352"/>
      <c r="CQ30" s="352"/>
      <c r="CR30" s="352"/>
      <c r="CS30" s="352"/>
      <c r="CT30" s="352"/>
      <c r="CU30" s="352"/>
      <c r="CV30" s="352"/>
      <c r="CW30" s="352"/>
      <c r="CX30" s="352"/>
      <c r="CY30" s="352"/>
      <c r="CZ30" s="352"/>
      <c r="DA30" s="352"/>
      <c r="DB30" s="352"/>
      <c r="DC30" s="352"/>
      <c r="DD30" s="352"/>
      <c r="DE30" s="352"/>
      <c r="DF30" s="352"/>
      <c r="DG30" s="352"/>
      <c r="DH30" s="352"/>
      <c r="DI30" s="352"/>
      <c r="DJ30" s="352"/>
      <c r="DK30" s="352"/>
      <c r="DL30" s="352"/>
      <c r="DM30" s="352"/>
      <c r="DN30" s="352"/>
      <c r="DO30" s="352"/>
      <c r="DP30" s="352"/>
      <c r="DQ30" s="352"/>
      <c r="DR30" s="352"/>
      <c r="DS30" s="352"/>
      <c r="DT30" s="352"/>
      <c r="DU30" s="352"/>
      <c r="DV30" s="352"/>
      <c r="DW30" s="352"/>
      <c r="DX30" s="352"/>
      <c r="DY30" s="352"/>
      <c r="DZ30" s="352"/>
      <c r="EA30" s="352"/>
      <c r="EB30" s="352"/>
      <c r="EC30" s="352"/>
      <c r="ED30" s="352"/>
      <c r="EE30" s="352"/>
      <c r="EF30" s="352"/>
      <c r="EG30" s="352"/>
      <c r="EH30" s="352"/>
      <c r="EI30" s="352"/>
      <c r="EJ30" s="352"/>
      <c r="EK30" s="352"/>
      <c r="EL30" s="352"/>
      <c r="EM30" s="352"/>
      <c r="EN30" s="352"/>
      <c r="EO30" s="352"/>
      <c r="EP30" s="352"/>
      <c r="EQ30" s="352"/>
      <c r="ER30" s="352"/>
      <c r="ES30" s="352"/>
      <c r="ET30" s="352"/>
      <c r="EU30" s="352"/>
      <c r="EV30" s="352"/>
      <c r="EW30" s="352"/>
      <c r="EX30" s="352"/>
      <c r="EY30" s="352"/>
      <c r="EZ30" s="352"/>
      <c r="FA30" s="352"/>
      <c r="FB30" s="352"/>
      <c r="FC30" s="352"/>
      <c r="FD30" s="352"/>
      <c r="FE30" s="352"/>
      <c r="FF30" s="352"/>
      <c r="FG30" s="352"/>
      <c r="FH30" s="352"/>
      <c r="FI30" s="352"/>
      <c r="FJ30" s="352"/>
      <c r="FK30" s="352"/>
      <c r="FL30" s="352"/>
      <c r="FM30" s="352"/>
      <c r="FN30" s="352"/>
      <c r="FO30" s="352"/>
      <c r="FP30" s="352"/>
      <c r="FQ30" s="352"/>
      <c r="FR30" s="352"/>
      <c r="FS30" s="352"/>
      <c r="FT30" s="352"/>
      <c r="FU30" s="352"/>
      <c r="FV30" s="352"/>
      <c r="FW30" s="352"/>
      <c r="FX30" s="352"/>
      <c r="FY30" s="352"/>
      <c r="FZ30" s="352"/>
      <c r="GA30" s="352"/>
      <c r="GB30" s="352"/>
      <c r="GC30" s="352"/>
      <c r="GD30" s="352"/>
      <c r="GE30" s="352"/>
      <c r="GF30" s="352"/>
      <c r="GG30" s="352"/>
      <c r="GH30" s="352"/>
      <c r="GI30" s="352"/>
      <c r="GJ30" s="352"/>
      <c r="GK30" s="352"/>
      <c r="GL30" s="352"/>
      <c r="GM30" s="352"/>
      <c r="GN30" s="352"/>
      <c r="GO30" s="352"/>
      <c r="GP30" s="352"/>
      <c r="GQ30" s="352"/>
      <c r="GR30" s="352"/>
      <c r="GS30" s="352"/>
      <c r="GT30" s="352"/>
      <c r="GU30" s="352"/>
      <c r="GV30" s="352"/>
      <c r="GW30" s="352"/>
      <c r="GX30" s="352"/>
      <c r="GY30" s="352"/>
      <c r="GZ30" s="352"/>
      <c r="HA30" s="352"/>
      <c r="HB30" s="352"/>
      <c r="HC30" s="352"/>
      <c r="HD30" s="352"/>
      <c r="HE30" s="352"/>
      <c r="HF30" s="352"/>
      <c r="HG30" s="352"/>
      <c r="HH30" s="352"/>
      <c r="HI30" s="352"/>
      <c r="HJ30" s="352"/>
      <c r="HK30" s="352"/>
      <c r="HL30" s="352"/>
      <c r="HM30" s="352"/>
      <c r="HN30" s="352"/>
      <c r="HO30" s="352"/>
      <c r="HP30" s="352"/>
      <c r="HQ30" s="352"/>
      <c r="HR30" s="352"/>
      <c r="HS30" s="352"/>
      <c r="HT30" s="352"/>
      <c r="HU30" s="352"/>
      <c r="HV30" s="352"/>
      <c r="HW30" s="352"/>
      <c r="HX30" s="352"/>
      <c r="HY30" s="352"/>
      <c r="HZ30" s="352"/>
      <c r="IA30" s="352"/>
      <c r="IB30" s="352"/>
      <c r="IC30" s="352"/>
      <c r="ID30" s="352"/>
      <c r="IE30" s="352"/>
      <c r="IF30" s="352"/>
      <c r="IG30" s="352"/>
      <c r="IH30" s="352"/>
      <c r="II30" s="352"/>
      <c r="IJ30" s="352"/>
      <c r="IK30" s="352"/>
      <c r="IL30" s="352"/>
      <c r="IM30" s="352"/>
      <c r="IN30" s="352"/>
      <c r="IO30" s="352"/>
      <c r="IP30" s="352"/>
      <c r="IQ30" s="352"/>
      <c r="IR30" s="352"/>
      <c r="IS30" s="352"/>
      <c r="IT30" s="352"/>
      <c r="IU30" s="352"/>
      <c r="IV30" s="352"/>
      <c r="IW30" s="352"/>
    </row>
    <row r="31" customFormat="false" ht="12.75" hidden="false" customHeight="false" outlineLevel="0" collapsed="false">
      <c r="A31" s="37" t="s">
        <v>436</v>
      </c>
      <c r="B31" s="39"/>
      <c r="C31" s="39"/>
      <c r="D31" s="311" t="s">
        <v>235</v>
      </c>
      <c r="E31" s="486" t="n">
        <f aca="false">IF(E$7&lt;YEAR(Startops1),0,(Returns!$AA$38-$AA$32)/$AA$9*E$9)</f>
        <v>0</v>
      </c>
      <c r="F31" s="486" t="n">
        <f aca="false">IF(F$7&lt;YEAR(Startops1),0,(Returns!$AA$38-$AA$32)/$AA$9*F$9)</f>
        <v>0</v>
      </c>
      <c r="G31" s="486" t="n">
        <f aca="false">IF(G$7&lt;YEAR(Startops1),0,(Returns!$AA$38-$AA$32)/$AA$9*G$9)</f>
        <v>0</v>
      </c>
      <c r="H31" s="486" t="n">
        <f aca="false">IF(H$7&lt;YEAR(Startops1),0,(Returns!$AA$38-$AA$32)/$AA$9*H$9)</f>
        <v>-17.2326688251401</v>
      </c>
      <c r="I31" s="486" t="n">
        <f aca="false">IF(I$7&lt;YEAR(Startops1),0,(Returns!$AA$38-$AA$32)/$AA$9*I$9)</f>
        <v>-20.6792025901682</v>
      </c>
      <c r="J31" s="486" t="n">
        <f aca="false">IF(J$7&lt;YEAR(Startops1),0,(Returns!$AA$38-$AA$32)/$AA$9*J$9)</f>
        <v>-20.6792025901682</v>
      </c>
      <c r="K31" s="486" t="n">
        <f aca="false">IF(K$7&lt;YEAR(Startops1),0,(Returns!$AA$38-$AA$32)/$AA$9*K$9)</f>
        <v>-20.6792025901682</v>
      </c>
      <c r="L31" s="486" t="n">
        <f aca="false">IF(L$7&lt;YEAR(Startops1),0,(Returns!$AA$38-$AA$32)/$AA$9*L$9)</f>
        <v>-20.6792025901682</v>
      </c>
      <c r="M31" s="486" t="n">
        <f aca="false">IF(M$7&lt;YEAR(Startops1),0,(Returns!$AA$38-$AA$32)/$AA$9*M$9)</f>
        <v>-20.6792025901682</v>
      </c>
      <c r="N31" s="486" t="n">
        <f aca="false">IF(N$7&lt;YEAR(Startops1),0,(Returns!$AA$38-$AA$32)/$AA$9*N$9)</f>
        <v>-20.6792025901682</v>
      </c>
      <c r="O31" s="486" t="n">
        <f aca="false">IF(O$7&lt;YEAR(Startops1),0,(Returns!$AA$38-$AA$32)/$AA$9*O$9)</f>
        <v>-20.6792025901682</v>
      </c>
      <c r="P31" s="486" t="n">
        <f aca="false">IF(P$7&lt;YEAR(Startops1),0,(Returns!$AA$38-$AA$32)/$AA$9*P$9)</f>
        <v>-20.6792025901682</v>
      </c>
      <c r="Q31" s="486" t="n">
        <f aca="false">IF(Q$7&lt;YEAR(Startops1),0,(Returns!$AA$38-$AA$32)/$AA$9*Q$9)</f>
        <v>-20.6792025901682</v>
      </c>
      <c r="R31" s="486" t="n">
        <f aca="false">IF(R$7&lt;YEAR(Startops1),0,(Returns!$AA$38-$AA$32)/$AA$9*R$9)</f>
        <v>-20.6792025901682</v>
      </c>
      <c r="S31" s="486" t="n">
        <f aca="false">IF(S$7&lt;YEAR(Startops1),0,(Returns!$AA$38-$AA$32)/$AA$9*S$9)</f>
        <v>-20.6792025901682</v>
      </c>
      <c r="T31" s="486" t="n">
        <f aca="false">IF(T$7&lt;YEAR(Startops1),0,(Returns!$AA$38-$AA$32)/$AA$9*T$9)</f>
        <v>-20.6792025901682</v>
      </c>
      <c r="U31" s="486" t="n">
        <f aca="false">IF(U$7&lt;YEAR(Startops1),0,(Returns!$AA$38-$AA$32)/$AA$9*U$9)</f>
        <v>-20.6792025901682</v>
      </c>
      <c r="V31" s="486" t="n">
        <f aca="false">IF(V$7&lt;YEAR(Startops1),0,(Returns!$AA$38-$AA$32)/$AA$9*V$9)</f>
        <v>-20.6792025901682</v>
      </c>
      <c r="W31" s="486" t="n">
        <f aca="false">IF(W$7&lt;YEAR(Startops1),0,(Returns!$AA$38-$AA$32)/$AA$9*W$9)</f>
        <v>-20.6792025901682</v>
      </c>
      <c r="X31" s="486" t="n">
        <f aca="false">IF(X$7&lt;YEAR(Startops1),0,(Returns!$AA$38-$AA$32)/$AA$9*X$9)</f>
        <v>-20.6792025901682</v>
      </c>
      <c r="Y31" s="486" t="n">
        <f aca="false">IF(Y$7&lt;YEAR(Startops1),0,(Returns!$AA$38-$AA$32)/$AA$9*Y$9)</f>
        <v>-20.6792025901682</v>
      </c>
      <c r="Z31" s="486" t="n">
        <f aca="false">IF(Z$7&lt;YEAR(Startops1),0,(Returns!$AA$38-$AA$32)/$AA$9*Z$9)</f>
        <v>-6.89306753005605</v>
      </c>
      <c r="AA31" s="501" t="n">
        <f aca="false">SUM(E31:Z31)</f>
        <v>-375.672180388055</v>
      </c>
      <c r="AB31" s="483" t="str">
        <f aca="false">IF(SUM(AA31+AA32-Returns!AA38)=0," ","Check")</f>
        <v> </v>
      </c>
    </row>
    <row r="32" customFormat="false" ht="12.75" hidden="false" customHeight="false" outlineLevel="0" collapsed="false">
      <c r="A32" s="37" t="s">
        <v>437</v>
      </c>
      <c r="B32" s="39"/>
      <c r="C32" s="39"/>
      <c r="D32" s="311" t="s">
        <v>235</v>
      </c>
      <c r="E32" s="486" t="n">
        <f aca="false">IF(E$7&lt;YEAR(Startops1),0,Returns!E38)*E$9/12</f>
        <v>0</v>
      </c>
      <c r="F32" s="486" t="n">
        <f aca="false">IF(F$7&lt;YEAR(Startops1),0,Returns!F38)*F$9/12</f>
        <v>0</v>
      </c>
      <c r="G32" s="486" t="n">
        <f aca="false">IF(G$7&lt;YEAR(Startops1),0,Returns!G38)*G$9/12</f>
        <v>0</v>
      </c>
      <c r="H32" s="486" t="n">
        <f aca="false">IF(H$7&lt;YEAR(Startops1),0,Returns!H38)*H$9/12</f>
        <v>-114.641086528128</v>
      </c>
      <c r="I32" s="486" t="n">
        <f aca="false">IF(I$7&lt;YEAR(Startops1),0,Returns!I38)*I$9/12</f>
        <v>-105.882310345435</v>
      </c>
      <c r="J32" s="486" t="n">
        <f aca="false">IF(J$7&lt;YEAR(Startops1),0,Returns!J38)*J$9/12</f>
        <v>-59.0315331873983</v>
      </c>
      <c r="K32" s="486" t="n">
        <f aca="false">IF(K$7&lt;YEAR(Startops1),0,Returns!K38)*K$9/12</f>
        <v>-19.7328784066373</v>
      </c>
      <c r="L32" s="486" t="n">
        <f aca="false">IF(L$7&lt;YEAR(Startops1),0,Returns!L38)*L$9/12</f>
        <v>-2.91659627278745</v>
      </c>
      <c r="M32" s="486" t="n">
        <f aca="false">IF(M$7&lt;YEAR(Startops1),0,Returns!M38)*M$9/12</f>
        <v>-0</v>
      </c>
      <c r="N32" s="486" t="n">
        <f aca="false">IF(N$7&lt;YEAR(Startops1),0,Returns!N38)*N$9/12</f>
        <v>-0</v>
      </c>
      <c r="O32" s="486" t="n">
        <f aca="false">IF(O$7&lt;YEAR(Startops1),0,Returns!O38)*O$9/12</f>
        <v>-0</v>
      </c>
      <c r="P32" s="486" t="n">
        <f aca="false">IF(P$7&lt;YEAR(Startops1),0,Returns!P38)*P$9/12</f>
        <v>-0</v>
      </c>
      <c r="Q32" s="486" t="n">
        <f aca="false">IF(Q$7&lt;YEAR(Startops1),0,Returns!Q38)*Q$9/12</f>
        <v>-0</v>
      </c>
      <c r="R32" s="486" t="n">
        <f aca="false">IF(R$7&lt;YEAR(Startops1),0,Returns!R38)*R$9/12</f>
        <v>-1.11576568674272</v>
      </c>
      <c r="S32" s="486" t="n">
        <f aca="false">IF(S$7&lt;YEAR(Startops1),0,Returns!S38)*S$9/12</f>
        <v>-15.3127722629162</v>
      </c>
      <c r="T32" s="486" t="n">
        <f aca="false">IF(T$7&lt;YEAR(Startops1),0,Returns!T38)*T$9/12</f>
        <v>-34.9830903411688</v>
      </c>
      <c r="U32" s="486" t="n">
        <f aca="false">IF(U$7&lt;YEAR(Startops1),0,Returns!U38)*U$9/12</f>
        <v>-59.490826821269</v>
      </c>
      <c r="V32" s="486" t="n">
        <f aca="false">IF(V$7&lt;YEAR(Startops1),0,Returns!V38)*V$9/12</f>
        <v>-89.3714591602343</v>
      </c>
      <c r="W32" s="486" t="n">
        <f aca="false">IF(W$7&lt;YEAR(Startops1),0,Returns!W38)*W$9/12</f>
        <v>-122.145443342334</v>
      </c>
      <c r="X32" s="486" t="n">
        <f aca="false">IF(X$7&lt;YEAR(Startops1),0,Returns!X38)*X$9/12</f>
        <v>-141.54256680591</v>
      </c>
      <c r="Y32" s="486" t="n">
        <f aca="false">IF(Y$7&lt;YEAR(Startops1),0,Returns!Y38)*Y$9/12</f>
        <v>-145.652564136159</v>
      </c>
      <c r="Z32" s="486" t="n">
        <f aca="false">IF(Z$7&lt;YEAR(Startops1),0,Returns!Z38)*Z$9/12</f>
        <v>-38.3999195469588</v>
      </c>
      <c r="AA32" s="482" t="n">
        <f aca="false">SUM(E32:Z32)</f>
        <v>-950.218812844079</v>
      </c>
    </row>
    <row r="33" customFormat="false" ht="12.75" hidden="false" customHeight="false" outlineLevel="0" collapsed="false">
      <c r="A33" s="37" t="s">
        <v>438</v>
      </c>
      <c r="B33" s="39"/>
      <c r="C33" s="39"/>
      <c r="D33" s="311" t="s">
        <v>235</v>
      </c>
      <c r="E33" s="174" t="n">
        <f aca="false">(Returns!$AA$39-$AA$34)/$AA$9*E$9</f>
        <v>0</v>
      </c>
      <c r="F33" s="174" t="n">
        <f aca="false">(Returns!$AA$39-$AA$34)/$AA$9*F$9</f>
        <v>0</v>
      </c>
      <c r="G33" s="174" t="n">
        <f aca="false">(Returns!$AA$39-$AA$34)/$AA$9*G$9</f>
        <v>0</v>
      </c>
      <c r="H33" s="174" t="n">
        <f aca="false">(Returns!$AA$39-$AA$34)/$AA$9*H$9</f>
        <v>112.114678899083</v>
      </c>
      <c r="I33" s="174" t="n">
        <f aca="false">(Returns!$AA$39-$AA$34)/$AA$9*I$9</f>
        <v>134.537614678899</v>
      </c>
      <c r="J33" s="174" t="n">
        <f aca="false">(Returns!$AA$39-$AA$34)/$AA$9*J$9</f>
        <v>134.537614678899</v>
      </c>
      <c r="K33" s="174" t="n">
        <f aca="false">(Returns!$AA$39-$AA$34)/$AA$9*K$9</f>
        <v>134.537614678899</v>
      </c>
      <c r="L33" s="174" t="n">
        <f aca="false">(Returns!$AA$39-$AA$34)/$AA$9*L$9</f>
        <v>134.537614678899</v>
      </c>
      <c r="M33" s="174" t="n">
        <f aca="false">(Returns!$AA$39-$AA$34)/$AA$9*M$9</f>
        <v>134.537614678899</v>
      </c>
      <c r="N33" s="174" t="n">
        <f aca="false">(Returns!$AA$39-$AA$34)/$AA$9*N$9</f>
        <v>134.537614678899</v>
      </c>
      <c r="O33" s="174" t="n">
        <f aca="false">(Returns!$AA$39-$AA$34)/$AA$9*O$9</f>
        <v>134.537614678899</v>
      </c>
      <c r="P33" s="174" t="n">
        <f aca="false">(Returns!$AA$39-$AA$34)/$AA$9*P$9</f>
        <v>134.537614678899</v>
      </c>
      <c r="Q33" s="174" t="n">
        <f aca="false">(Returns!$AA$39-$AA$34)/$AA$9*Q$9</f>
        <v>134.537614678899</v>
      </c>
      <c r="R33" s="174" t="n">
        <f aca="false">(Returns!$AA$39-$AA$34)/$AA$9*R$9</f>
        <v>134.537614678899</v>
      </c>
      <c r="S33" s="174" t="n">
        <f aca="false">(Returns!$AA$39-$AA$34)/$AA$9*S$9</f>
        <v>134.537614678899</v>
      </c>
      <c r="T33" s="174" t="n">
        <f aca="false">(Returns!$AA$39-$AA$34)/$AA$9*T$9</f>
        <v>134.537614678899</v>
      </c>
      <c r="U33" s="174" t="n">
        <f aca="false">(Returns!$AA$39-$AA$34)/$AA$9*U$9</f>
        <v>134.537614678899</v>
      </c>
      <c r="V33" s="174" t="n">
        <f aca="false">(Returns!$AA$39-$AA$34)/$AA$9*V$9</f>
        <v>134.537614678899</v>
      </c>
      <c r="W33" s="174" t="n">
        <f aca="false">(Returns!$AA$39-$AA$34)/$AA$9*W$9</f>
        <v>134.537614678899</v>
      </c>
      <c r="X33" s="174" t="n">
        <f aca="false">(Returns!$AA$39-$AA$34)/$AA$9*X$9</f>
        <v>134.537614678899</v>
      </c>
      <c r="Y33" s="174" t="n">
        <f aca="false">(Returns!$AA$39-$AA$34)/$AA$9*Y$9</f>
        <v>134.537614678899</v>
      </c>
      <c r="Z33" s="174" t="n">
        <f aca="false">(Returns!$AA$39-$AA$34)/$AA$9*Z$9</f>
        <v>44.845871559633</v>
      </c>
      <c r="AA33" s="482" t="n">
        <f aca="false">SUM(E33:Z33)</f>
        <v>2444.1</v>
      </c>
      <c r="AB33" s="483" t="str">
        <f aca="false">IF(SUM(AA33,AA34,-Returns!AA39)=0," ","Check")</f>
        <v> </v>
      </c>
    </row>
    <row r="34" customFormat="false" ht="12.75" hidden="false" customHeight="false" outlineLevel="0" collapsed="false">
      <c r="A34" s="37" t="s">
        <v>439</v>
      </c>
      <c r="B34" s="39"/>
      <c r="C34" s="39"/>
      <c r="D34" s="311" t="s">
        <v>235</v>
      </c>
      <c r="E34" s="174" t="n">
        <f aca="false">Returns!E39*(1-Returns!$A$27)</f>
        <v>496.269484516408</v>
      </c>
      <c r="F34" s="174" t="n">
        <f aca="false">Returns!F39*(1-Returns!$A$27)</f>
        <v>1913.89370830032</v>
      </c>
      <c r="G34" s="174" t="n">
        <f aca="false">Returns!G39*(1-Returns!$A$27)</f>
        <v>33.936807183271</v>
      </c>
      <c r="H34" s="174" t="n">
        <f aca="false">Returns!H39*(1-Returns!$A$27)</f>
        <v>0</v>
      </c>
      <c r="I34" s="174" t="n">
        <f aca="false">Returns!I39*(1-Returns!$A$27)</f>
        <v>0</v>
      </c>
      <c r="J34" s="174" t="n">
        <f aca="false">Returns!J39*(1-Returns!$A$27)</f>
        <v>0</v>
      </c>
      <c r="K34" s="174" t="n">
        <f aca="false">Returns!K39*(1-Returns!$A$27)</f>
        <v>0</v>
      </c>
      <c r="L34" s="174" t="n">
        <f aca="false">Returns!L39*(1-Returns!$A$27)</f>
        <v>0</v>
      </c>
      <c r="M34" s="174" t="n">
        <f aca="false">Returns!M39*(1-Returns!$A$27)</f>
        <v>0</v>
      </c>
      <c r="N34" s="174" t="n">
        <f aca="false">Returns!N39*(1-Returns!$A$27)</f>
        <v>0</v>
      </c>
      <c r="O34" s="174" t="n">
        <f aca="false">Returns!O39*(1-Returns!$A$27)</f>
        <v>0</v>
      </c>
      <c r="P34" s="174" t="n">
        <f aca="false">Returns!P39*(1-Returns!$A$27)</f>
        <v>0</v>
      </c>
      <c r="Q34" s="174" t="n">
        <f aca="false">Returns!Q39*(1-Returns!$A$27)</f>
        <v>0</v>
      </c>
      <c r="R34" s="174" t="n">
        <f aca="false">Returns!R39*(1-Returns!$A$27)</f>
        <v>0</v>
      </c>
      <c r="S34" s="174" t="n">
        <f aca="false">Returns!S39*(1-Returns!$A$27)</f>
        <v>0</v>
      </c>
      <c r="T34" s="174" t="n">
        <f aca="false">Returns!T39*(1-Returns!$A$27)</f>
        <v>0</v>
      </c>
      <c r="U34" s="174" t="n">
        <f aca="false">Returns!U39*(1-Returns!$A$27)</f>
        <v>0</v>
      </c>
      <c r="V34" s="174" t="n">
        <f aca="false">Returns!V39*(1-Returns!$A$27)</f>
        <v>0</v>
      </c>
      <c r="W34" s="174" t="n">
        <f aca="false">Returns!W39*(1-Returns!$A$27)</f>
        <v>0</v>
      </c>
      <c r="X34" s="174" t="n">
        <f aca="false">Returns!X39*(1-Returns!$A$27)</f>
        <v>0</v>
      </c>
      <c r="Y34" s="174" t="n">
        <f aca="false">Returns!Y39*(1-Returns!$A$27)</f>
        <v>0</v>
      </c>
      <c r="Z34" s="174" t="n">
        <f aca="false">Returns!Z39*(1-Returns!$A$27)</f>
        <v>0</v>
      </c>
      <c r="AA34" s="482" t="n">
        <f aca="false">SUM(E34:Z34)</f>
        <v>2444.1</v>
      </c>
    </row>
    <row r="35" customFormat="false" ht="12.75" hidden="false" customHeight="false" outlineLevel="0" collapsed="false">
      <c r="A35" s="37" t="s">
        <v>251</v>
      </c>
      <c r="B35" s="39"/>
      <c r="C35" s="39"/>
      <c r="D35" s="311" t="s">
        <v>235</v>
      </c>
      <c r="E35" s="499" t="n">
        <f aca="false">-SUM(E33:E34)*Wh_Serv</f>
        <v>-74.4404226774613</v>
      </c>
      <c r="F35" s="499" t="n">
        <f aca="false">-SUM(F33:F34)*Wh_Serv</f>
        <v>-287.084056245048</v>
      </c>
      <c r="G35" s="499" t="n">
        <f aca="false">-SUM(G33:G34)*Wh_Serv</f>
        <v>-5.09052107749064</v>
      </c>
      <c r="H35" s="499" t="n">
        <f aca="false">-SUM(H33:H34)*Wh_Serv</f>
        <v>-16.8172018348624</v>
      </c>
      <c r="I35" s="499" t="n">
        <f aca="false">-SUM(I33:I34)*Wh_Serv</f>
        <v>-20.1806422018349</v>
      </c>
      <c r="J35" s="499" t="n">
        <f aca="false">-SUM(J33:J34)*Wh_Serv</f>
        <v>-20.1806422018349</v>
      </c>
      <c r="K35" s="499" t="n">
        <f aca="false">-SUM(K33:K34)*Wh_Serv</f>
        <v>-20.1806422018349</v>
      </c>
      <c r="L35" s="499" t="n">
        <f aca="false">-SUM(L33:L34)*Wh_Serv</f>
        <v>-20.1806422018349</v>
      </c>
      <c r="M35" s="499" t="n">
        <f aca="false">-SUM(M33:M34)*Wh_Serv</f>
        <v>-20.1806422018349</v>
      </c>
      <c r="N35" s="499" t="n">
        <f aca="false">-SUM(N33:N34)*Wh_Serv</f>
        <v>-20.1806422018349</v>
      </c>
      <c r="O35" s="499" t="n">
        <f aca="false">-SUM(O33:O34)*Wh_Serv</f>
        <v>-20.1806422018349</v>
      </c>
      <c r="P35" s="499" t="n">
        <f aca="false">-SUM(P33:P34)*Wh_Serv</f>
        <v>-20.1806422018349</v>
      </c>
      <c r="Q35" s="499" t="n">
        <f aca="false">-SUM(Q33:Q34)*Wh_Serv</f>
        <v>-20.1806422018349</v>
      </c>
      <c r="R35" s="499" t="n">
        <f aca="false">-SUM(R33:R34)*Wh_Serv</f>
        <v>-20.1806422018349</v>
      </c>
      <c r="S35" s="499" t="n">
        <f aca="false">-SUM(S33:S34)*Wh_Serv</f>
        <v>-20.1806422018349</v>
      </c>
      <c r="T35" s="499" t="n">
        <f aca="false">-SUM(T33:T34)*Wh_Serv</f>
        <v>-20.1806422018349</v>
      </c>
      <c r="U35" s="499" t="n">
        <f aca="false">-SUM(U33:U34)*Wh_Serv</f>
        <v>-20.1806422018349</v>
      </c>
      <c r="V35" s="499" t="n">
        <f aca="false">-SUM(V33:V34)*Wh_Serv</f>
        <v>-20.1806422018349</v>
      </c>
      <c r="W35" s="499" t="n">
        <f aca="false">-SUM(W33:W34)*Wh_Serv</f>
        <v>-20.1806422018349</v>
      </c>
      <c r="X35" s="499" t="n">
        <f aca="false">-SUM(X33:X34)*Wh_Serv</f>
        <v>-20.1806422018349</v>
      </c>
      <c r="Y35" s="499" t="n">
        <f aca="false">-SUM(Y33:Y34)*Wh_Serv</f>
        <v>-20.1806422018349</v>
      </c>
      <c r="Z35" s="499" t="n">
        <f aca="false">-SUM(Z33:Z34)*Wh_Serv</f>
        <v>-6.72688073394495</v>
      </c>
      <c r="AA35" s="500" t="n">
        <f aca="false">SUM(E35:Z35)</f>
        <v>-733.23</v>
      </c>
      <c r="AB35" s="483" t="str">
        <f aca="false">IF(ROUND(SUM(AA35,-Returns!AA40),2)=0," ","Check")</f>
        <v> </v>
      </c>
    </row>
    <row r="36" customFormat="false" ht="12.75" hidden="false" customHeight="false" outlineLevel="0" collapsed="false">
      <c r="A36" s="37" t="s">
        <v>440</v>
      </c>
      <c r="B36" s="39"/>
      <c r="C36" s="39"/>
      <c r="D36" s="39"/>
      <c r="E36" s="484" t="n">
        <f aca="false">-SUM(E25:E35)*USTax</f>
        <v>-156.07675288041</v>
      </c>
      <c r="F36" s="484" t="n">
        <f aca="false">-SUM(F25:F35)*USTax</f>
        <v>-601.919571260451</v>
      </c>
      <c r="G36" s="484" t="n">
        <f aca="false">-SUM(G25:G35)*USTax</f>
        <v>-10.6731258591387</v>
      </c>
      <c r="H36" s="484" t="n">
        <f aca="false">-SUM(H25:H35)*USTax</f>
        <v>-26.8145983597592</v>
      </c>
      <c r="I36" s="484" t="n">
        <f aca="false">-SUM(I25:I35)*USTax</f>
        <v>-46.0949255689069</v>
      </c>
      <c r="J36" s="484" t="n">
        <f aca="false">-SUM(J25:J35)*USTax</f>
        <v>-60.9346572541464</v>
      </c>
      <c r="K36" s="484" t="n">
        <f aca="false">-SUM(K25:K35)*USTax</f>
        <v>-77.6090065649298</v>
      </c>
      <c r="L36" s="484" t="n">
        <f aca="false">-SUM(L25:L35)*USTax</f>
        <v>-142.513799910703</v>
      </c>
      <c r="M36" s="484" t="n">
        <f aca="false">-SUM(M25:M35)*USTax</f>
        <v>-214.44681597735</v>
      </c>
      <c r="N36" s="484" t="n">
        <f aca="false">-SUM(N25:N35)*USTax</f>
        <v>-271.557091475462</v>
      </c>
      <c r="O36" s="484" t="n">
        <f aca="false">-SUM(O25:O35)*USTax</f>
        <v>-332.787737311508</v>
      </c>
      <c r="P36" s="484" t="n">
        <f aca="false">-SUM(P25:P35)*USTax</f>
        <v>-395.237543466986</v>
      </c>
      <c r="Q36" s="484" t="n">
        <f aca="false">-SUM(Q25:Q35)*USTax</f>
        <v>-453.519886255041</v>
      </c>
      <c r="R36" s="484" t="n">
        <f aca="false">-SUM(R25:R35)*USTax</f>
        <v>-465.258220509462</v>
      </c>
      <c r="S36" s="484" t="n">
        <f aca="false">-SUM(S25:S35)*USTax</f>
        <v>-446.761360874185</v>
      </c>
      <c r="T36" s="484" t="n">
        <f aca="false">-SUM(T25:T35)*USTax</f>
        <v>-430.287876237267</v>
      </c>
      <c r="U36" s="484" t="n">
        <f aca="false">-SUM(U25:U35)*USTax</f>
        <v>-415.835792544139</v>
      </c>
      <c r="V36" s="484" t="n">
        <f aca="false">-SUM(V25:V35)*USTax</f>
        <v>-363.280293689743</v>
      </c>
      <c r="W36" s="484" t="n">
        <f aca="false">-SUM(W25:W35)*USTax</f>
        <v>-296.254244895937</v>
      </c>
      <c r="X36" s="484" t="n">
        <f aca="false">-SUM(X25:X35)*USTax</f>
        <v>-205.169666734869</v>
      </c>
      <c r="Y36" s="484" t="n">
        <f aca="false">-SUM(Y25:Y35)*USTax</f>
        <v>-61.7447987297305</v>
      </c>
      <c r="Z36" s="484" t="n">
        <f aca="false">-SUM(Z25:Z35)*USTax</f>
        <v>81.6228546111813</v>
      </c>
      <c r="AA36" s="485" t="n">
        <f aca="false">SUM(E36:Z36)</f>
        <v>-5393.15491174894</v>
      </c>
    </row>
    <row r="37" customFormat="false" ht="12.75" hidden="false" customHeight="false" outlineLevel="0" collapsed="false">
      <c r="A37" s="37"/>
      <c r="B37" s="39" t="s">
        <v>441</v>
      </c>
      <c r="C37" s="39"/>
      <c r="D37" s="39"/>
      <c r="E37" s="174" t="n">
        <f aca="false">SUM(E23:E36)</f>
        <v>265.752308958537</v>
      </c>
      <c r="F37" s="174" t="n">
        <f aca="false">SUM(F23:F36)</f>
        <v>1024.89008079482</v>
      </c>
      <c r="G37" s="174" t="n">
        <f aca="false">SUM(G23:G36)</f>
        <v>18.1731602466416</v>
      </c>
      <c r="H37" s="174" t="n">
        <f aca="false">SUM(H23:H36)</f>
        <v>45.6572890990494</v>
      </c>
      <c r="I37" s="174" t="n">
        <f aca="false">SUM(I23:I36)</f>
        <v>78.4859543470576</v>
      </c>
      <c r="J37" s="174" t="n">
        <f aca="false">SUM(J23:J36)</f>
        <v>103.753605594898</v>
      </c>
      <c r="K37" s="174" t="n">
        <f aca="false">SUM(K23:K36)</f>
        <v>132.145065232178</v>
      </c>
      <c r="L37" s="174" t="n">
        <f aca="false">SUM(L23:L36)</f>
        <v>242.658632280386</v>
      </c>
      <c r="M37" s="174" t="n">
        <f aca="false">SUM(M23:M36)</f>
        <v>365.139173150622</v>
      </c>
      <c r="N37" s="174" t="n">
        <f aca="false">SUM(N23:N36)</f>
        <v>462.380993593354</v>
      </c>
      <c r="O37" s="174" t="n">
        <f aca="false">SUM(O23:O36)</f>
        <v>566.638579746622</v>
      </c>
      <c r="P37" s="174" t="n">
        <f aca="false">SUM(P23:P36)</f>
        <v>672.972033470814</v>
      </c>
      <c r="Q37" s="174" t="n">
        <f aca="false">SUM(Q23:Q36)</f>
        <v>772.209536055881</v>
      </c>
      <c r="R37" s="174" t="n">
        <f aca="false">SUM(R23:R36)</f>
        <v>792.196429516112</v>
      </c>
      <c r="S37" s="174" t="n">
        <f aca="false">SUM(S23:S36)</f>
        <v>760.701776623613</v>
      </c>
      <c r="T37" s="174" t="n">
        <f aca="false">SUM(T23:T36)</f>
        <v>732.6523298094</v>
      </c>
      <c r="U37" s="174" t="n">
        <f aca="false">SUM(U23:U36)</f>
        <v>708.044727845426</v>
      </c>
      <c r="V37" s="174" t="n">
        <f aca="false">SUM(V23:V36)</f>
        <v>618.558337904158</v>
      </c>
      <c r="W37" s="174" t="n">
        <f aca="false">SUM(W23:W36)</f>
        <v>504.432903471461</v>
      </c>
      <c r="X37" s="174" t="n">
        <f aca="false">SUM(X23:X36)</f>
        <v>349.342946062074</v>
      </c>
      <c r="Y37" s="174" t="n">
        <f aca="false">SUM(Y23:Y36)</f>
        <v>105.133035674946</v>
      </c>
      <c r="Z37" s="174" t="n">
        <f aca="false">SUM(Z23:Z36)</f>
        <v>-138.979455148768</v>
      </c>
      <c r="AA37" s="482" t="n">
        <f aca="false">SUM(E37:Z37)</f>
        <v>9182.93944432928</v>
      </c>
    </row>
    <row r="38" customFormat="false" ht="12.75" hidden="false" customHeight="false" outlineLevel="0" collapsed="false">
      <c r="A38" s="37"/>
      <c r="B38" s="39"/>
      <c r="C38" s="39"/>
      <c r="D38" s="39"/>
      <c r="E38" s="502"/>
      <c r="F38" s="502"/>
      <c r="G38" s="502"/>
      <c r="H38" s="502"/>
      <c r="I38" s="502"/>
      <c r="J38" s="502"/>
      <c r="K38" s="502"/>
      <c r="L38" s="502"/>
      <c r="M38" s="502"/>
      <c r="N38" s="502"/>
      <c r="O38" s="502"/>
      <c r="P38" s="502"/>
      <c r="Q38" s="502"/>
      <c r="R38" s="502"/>
      <c r="S38" s="502"/>
      <c r="T38" s="502"/>
      <c r="U38" s="502"/>
      <c r="V38" s="502"/>
      <c r="W38" s="502"/>
      <c r="X38" s="502"/>
      <c r="Y38" s="502"/>
      <c r="Z38" s="502"/>
      <c r="AA38" s="492"/>
    </row>
    <row r="39" customFormat="false" ht="12.75" hidden="false" customHeight="false" outlineLevel="0" collapsed="false">
      <c r="A39" s="114" t="s">
        <v>442</v>
      </c>
      <c r="B39" s="39"/>
      <c r="C39" s="39"/>
      <c r="D39" s="39"/>
      <c r="E39" s="502"/>
      <c r="F39" s="502"/>
      <c r="G39" s="502"/>
      <c r="H39" s="502"/>
      <c r="I39" s="502"/>
      <c r="J39" s="502"/>
      <c r="K39" s="502"/>
      <c r="L39" s="502"/>
      <c r="M39" s="502"/>
      <c r="N39" s="502"/>
      <c r="O39" s="502"/>
      <c r="P39" s="502"/>
      <c r="Q39" s="502"/>
      <c r="R39" s="502"/>
      <c r="S39" s="502"/>
      <c r="T39" s="502"/>
      <c r="U39" s="502"/>
      <c r="V39" s="502"/>
      <c r="W39" s="502"/>
      <c r="X39" s="502"/>
      <c r="Y39" s="502"/>
      <c r="Z39" s="502"/>
      <c r="AA39" s="492"/>
    </row>
    <row r="40" customFormat="false" ht="12.75" hidden="false" customHeight="false" outlineLevel="0" collapsed="false">
      <c r="A40" s="37" t="str">
        <f aca="false">CONCATENATE("Plus: Interest Income - ",TEXT(Int_BL,"0.00%"))</f>
        <v>Plus: Interest Income - 6.00%</v>
      </c>
      <c r="B40" s="39"/>
      <c r="C40" s="39"/>
      <c r="D40" s="311" t="s">
        <v>280</v>
      </c>
      <c r="E40" s="174" t="n">
        <f aca="false">Returns!E54</f>
        <v>0</v>
      </c>
      <c r="F40" s="174" t="n">
        <f aca="false">Returns!F54</f>
        <v>211.983162518271</v>
      </c>
      <c r="G40" s="174" t="n">
        <f aca="false">Returns!G54</f>
        <v>933.315519181936</v>
      </c>
      <c r="H40" s="174" t="n">
        <f aca="false">Returns!H54</f>
        <v>0</v>
      </c>
      <c r="I40" s="174" t="n">
        <f aca="false">Returns!I54</f>
        <v>0</v>
      </c>
      <c r="J40" s="174" t="n">
        <f aca="false">Returns!J54</f>
        <v>0</v>
      </c>
      <c r="K40" s="174" t="n">
        <f aca="false">Returns!K54</f>
        <v>0</v>
      </c>
      <c r="L40" s="174" t="n">
        <f aca="false">Returns!L54</f>
        <v>0</v>
      </c>
      <c r="M40" s="174" t="n">
        <f aca="false">Returns!M54</f>
        <v>0</v>
      </c>
      <c r="N40" s="174" t="n">
        <f aca="false">Returns!N54</f>
        <v>0</v>
      </c>
      <c r="O40" s="174" t="n">
        <f aca="false">Returns!O54</f>
        <v>0</v>
      </c>
      <c r="P40" s="174" t="n">
        <f aca="false">Returns!P54</f>
        <v>0</v>
      </c>
      <c r="Q40" s="174" t="n">
        <f aca="false">Returns!Q54</f>
        <v>0</v>
      </c>
      <c r="R40" s="174" t="n">
        <f aca="false">Returns!R54</f>
        <v>0</v>
      </c>
      <c r="S40" s="174" t="n">
        <f aca="false">Returns!S54</f>
        <v>0</v>
      </c>
      <c r="T40" s="174" t="n">
        <f aca="false">Returns!T54</f>
        <v>0</v>
      </c>
      <c r="U40" s="174" t="n">
        <f aca="false">Returns!U54</f>
        <v>0</v>
      </c>
      <c r="V40" s="174" t="n">
        <f aca="false">Returns!V54</f>
        <v>0</v>
      </c>
      <c r="W40" s="174" t="n">
        <f aca="false">Returns!W54</f>
        <v>0</v>
      </c>
      <c r="X40" s="174" t="n">
        <f aca="false">Returns!X54</f>
        <v>0</v>
      </c>
      <c r="Y40" s="174" t="n">
        <f aca="false">Returns!Y54</f>
        <v>0</v>
      </c>
      <c r="Z40" s="174" t="n">
        <f aca="false">Returns!Z54</f>
        <v>0</v>
      </c>
      <c r="AA40" s="482" t="n">
        <f aca="false">SUM(E40:Z40)</f>
        <v>1145.29868170021</v>
      </c>
    </row>
    <row r="41" customFormat="false" ht="12.75" hidden="false" customHeight="false" outlineLevel="0" collapsed="false">
      <c r="A41" s="37" t="str">
        <f aca="false">CONCATENATE("Less: Enron Cost Of Funds - ",TEXT(Ecf,"0.00%"))</f>
        <v>Less: Enron Cost Of Funds - 6.50%</v>
      </c>
      <c r="B41" s="39"/>
      <c r="C41" s="39"/>
      <c r="D41" s="311" t="s">
        <v>280</v>
      </c>
      <c r="E41" s="174" t="n">
        <f aca="false">-E40/Int_BL*Ecf</f>
        <v>-0</v>
      </c>
      <c r="F41" s="174" t="n">
        <f aca="false">-F40/Int_BL*Ecf</f>
        <v>-229.64842606146</v>
      </c>
      <c r="G41" s="174" t="n">
        <f aca="false">-G40/Int_BL*Ecf</f>
        <v>-1011.0918124471</v>
      </c>
      <c r="H41" s="174" t="n">
        <f aca="false">-H40/Int_BL*Ecf</f>
        <v>-0</v>
      </c>
      <c r="I41" s="174" t="n">
        <f aca="false">-I40/Int_BL*Ecf</f>
        <v>-0</v>
      </c>
      <c r="J41" s="174" t="n">
        <f aca="false">-J40/Int_BL*Ecf</f>
        <v>-0</v>
      </c>
      <c r="K41" s="174" t="n">
        <f aca="false">-K40/Int_BL*Ecf</f>
        <v>-0</v>
      </c>
      <c r="L41" s="174" t="n">
        <f aca="false">-L40/Int_BL*Ecf</f>
        <v>-0</v>
      </c>
      <c r="M41" s="174" t="n">
        <f aca="false">-M40/Int_BL*Ecf</f>
        <v>-0</v>
      </c>
      <c r="N41" s="174" t="n">
        <f aca="false">-N40/Int_BL*Ecf</f>
        <v>-0</v>
      </c>
      <c r="O41" s="174" t="n">
        <f aca="false">-O40/Int_BL*Ecf</f>
        <v>-0</v>
      </c>
      <c r="P41" s="174" t="n">
        <f aca="false">-P40/Int_BL*Ecf</f>
        <v>-0</v>
      </c>
      <c r="Q41" s="174" t="n">
        <f aca="false">-Q40/Int_BL*Ecf</f>
        <v>-0</v>
      </c>
      <c r="R41" s="174" t="n">
        <f aca="false">-R40/Int_BL*Ecf</f>
        <v>-0</v>
      </c>
      <c r="S41" s="174" t="n">
        <f aca="false">-S40/Int_BL*Ecf</f>
        <v>-0</v>
      </c>
      <c r="T41" s="174" t="n">
        <f aca="false">-T40/Int_BL*Ecf</f>
        <v>-0</v>
      </c>
      <c r="U41" s="174" t="n">
        <f aca="false">-U40/Int_BL*Ecf</f>
        <v>-0</v>
      </c>
      <c r="V41" s="174" t="n">
        <f aca="false">-V40/Int_BL*Ecf</f>
        <v>-0</v>
      </c>
      <c r="W41" s="174" t="n">
        <f aca="false">-W40/Int_BL*Ecf</f>
        <v>-0</v>
      </c>
      <c r="X41" s="174" t="n">
        <f aca="false">-X40/Int_BL*Ecf</f>
        <v>-0</v>
      </c>
      <c r="Y41" s="174" t="n">
        <f aca="false">-Y40/Int_BL*Ecf</f>
        <v>-0</v>
      </c>
      <c r="Z41" s="174" t="n">
        <f aca="false">-Z40/Int_BL*Ecf</f>
        <v>-0</v>
      </c>
      <c r="AA41" s="482" t="n">
        <f aca="false">SUM(E41:Z41)</f>
        <v>-1240.74023850856</v>
      </c>
    </row>
    <row r="42" customFormat="false" ht="12.75" hidden="false" customHeight="false" outlineLevel="0" collapsed="false">
      <c r="A42" s="37" t="str">
        <f aca="false">CONCATENATE("Less: Political Risk Insurance - ",TEXT(Opic,"0.00%"))</f>
        <v>Less: Political Risk Insurance - 1.00%</v>
      </c>
      <c r="B42" s="39"/>
      <c r="C42" s="39"/>
      <c r="D42" s="311" t="s">
        <v>280</v>
      </c>
      <c r="E42" s="174" t="n">
        <f aca="false">Returns!E56</f>
        <v>0</v>
      </c>
      <c r="F42" s="174" t="n">
        <f aca="false">Returns!F56</f>
        <v>-90.7273936824407</v>
      </c>
      <c r="G42" s="174" t="n">
        <f aca="false">Returns!G56</f>
        <v>-90.7273936824407</v>
      </c>
      <c r="H42" s="174" t="n">
        <f aca="false">Returns!H56</f>
        <v>0</v>
      </c>
      <c r="I42" s="174" t="n">
        <f aca="false">Returns!I56</f>
        <v>0</v>
      </c>
      <c r="J42" s="174" t="n">
        <f aca="false">Returns!J56</f>
        <v>0</v>
      </c>
      <c r="K42" s="174" t="n">
        <f aca="false">Returns!K56</f>
        <v>0</v>
      </c>
      <c r="L42" s="174" t="n">
        <f aca="false">Returns!L56</f>
        <v>0</v>
      </c>
      <c r="M42" s="174" t="n">
        <f aca="false">Returns!M56</f>
        <v>0</v>
      </c>
      <c r="N42" s="174" t="n">
        <f aca="false">Returns!N56</f>
        <v>0</v>
      </c>
      <c r="O42" s="174" t="n">
        <f aca="false">Returns!O56</f>
        <v>0</v>
      </c>
      <c r="P42" s="174" t="n">
        <f aca="false">Returns!P56</f>
        <v>0</v>
      </c>
      <c r="Q42" s="174" t="n">
        <f aca="false">Returns!Q56</f>
        <v>0</v>
      </c>
      <c r="R42" s="174" t="n">
        <f aca="false">Returns!R56</f>
        <v>0</v>
      </c>
      <c r="S42" s="174" t="n">
        <f aca="false">Returns!S56</f>
        <v>0</v>
      </c>
      <c r="T42" s="174" t="n">
        <f aca="false">Returns!T56</f>
        <v>0</v>
      </c>
      <c r="U42" s="174" t="n">
        <f aca="false">Returns!U56</f>
        <v>0</v>
      </c>
      <c r="V42" s="174" t="n">
        <f aca="false">Returns!V56</f>
        <v>0</v>
      </c>
      <c r="W42" s="174" t="n">
        <f aca="false">Returns!W56</f>
        <v>0</v>
      </c>
      <c r="X42" s="174" t="n">
        <f aca="false">Returns!X56</f>
        <v>0</v>
      </c>
      <c r="Y42" s="174" t="n">
        <f aca="false">Returns!Y56</f>
        <v>0</v>
      </c>
      <c r="Z42" s="174" t="n">
        <f aca="false">Returns!Z56</f>
        <v>0</v>
      </c>
      <c r="AA42" s="482" t="n">
        <f aca="false">SUM(E42:Z42)</f>
        <v>-181.454787364881</v>
      </c>
    </row>
    <row r="43" customFormat="false" ht="12.75" hidden="false" customHeight="false" outlineLevel="0" collapsed="false">
      <c r="A43" s="37" t="s">
        <v>443</v>
      </c>
      <c r="B43" s="39"/>
      <c r="C43" s="39"/>
      <c r="D43" s="39"/>
      <c r="E43" s="484" t="n">
        <f aca="false">USTax*-SUM(E40:E42)</f>
        <v>-0</v>
      </c>
      <c r="F43" s="484" t="n">
        <f aca="false">USTax*-SUM(F40:F42)</f>
        <v>40.1052831734831</v>
      </c>
      <c r="G43" s="484" t="n">
        <f aca="false">USTax*-SUM(G40:G42)</f>
        <v>62.3463641706128</v>
      </c>
      <c r="H43" s="484" t="n">
        <f aca="false">USTax*-SUM(H40:H42)</f>
        <v>-0</v>
      </c>
      <c r="I43" s="484" t="n">
        <f aca="false">USTax*-SUM(I40:I42)</f>
        <v>-0</v>
      </c>
      <c r="J43" s="484" t="n">
        <f aca="false">USTax*-SUM(J40:J42)</f>
        <v>-0</v>
      </c>
      <c r="K43" s="484" t="n">
        <f aca="false">USTax*-SUM(K40:K42)</f>
        <v>-0</v>
      </c>
      <c r="L43" s="484" t="n">
        <f aca="false">USTax*-SUM(L40:L42)</f>
        <v>-0</v>
      </c>
      <c r="M43" s="484" t="n">
        <f aca="false">USTax*-SUM(M40:M42)</f>
        <v>-0</v>
      </c>
      <c r="N43" s="484" t="n">
        <f aca="false">USTax*-SUM(N40:N42)</f>
        <v>-0</v>
      </c>
      <c r="O43" s="484" t="n">
        <f aca="false">USTax*-SUM(O40:O42)</f>
        <v>-0</v>
      </c>
      <c r="P43" s="484" t="n">
        <f aca="false">USTax*-SUM(P40:P42)</f>
        <v>-0</v>
      </c>
      <c r="Q43" s="484" t="n">
        <f aca="false">USTax*-SUM(Q40:Q42)</f>
        <v>-0</v>
      </c>
      <c r="R43" s="484" t="n">
        <f aca="false">USTax*-SUM(R40:R42)</f>
        <v>-0</v>
      </c>
      <c r="S43" s="484" t="n">
        <f aca="false">USTax*-SUM(S40:S42)</f>
        <v>-0</v>
      </c>
      <c r="T43" s="484" t="n">
        <f aca="false">USTax*-SUM(T40:T42)</f>
        <v>-0</v>
      </c>
      <c r="U43" s="484" t="n">
        <f aca="false">USTax*-SUM(U40:U42)</f>
        <v>-0</v>
      </c>
      <c r="V43" s="484" t="n">
        <f aca="false">USTax*-SUM(V40:V42)</f>
        <v>-0</v>
      </c>
      <c r="W43" s="484" t="n">
        <f aca="false">USTax*-SUM(W40:W42)</f>
        <v>-0</v>
      </c>
      <c r="X43" s="484" t="n">
        <f aca="false">USTax*-SUM(X40:X42)</f>
        <v>-0</v>
      </c>
      <c r="Y43" s="484" t="n">
        <f aca="false">USTax*-SUM(Y40:Y42)</f>
        <v>-0</v>
      </c>
      <c r="Z43" s="484" t="n">
        <f aca="false">USTax*-SUM(Z40:Z42)</f>
        <v>-0</v>
      </c>
      <c r="AA43" s="485" t="n">
        <f aca="false">SUM(E43:Z43)</f>
        <v>102.451647344096</v>
      </c>
    </row>
    <row r="44" customFormat="false" ht="12.75" hidden="false" customHeight="false" outlineLevel="0" collapsed="false">
      <c r="A44" s="37"/>
      <c r="B44" s="39" t="s">
        <v>444</v>
      </c>
      <c r="C44" s="39"/>
      <c r="D44" s="39"/>
      <c r="E44" s="174" t="n">
        <f aca="false">SUM(E39:E43)</f>
        <v>0</v>
      </c>
      <c r="F44" s="174" t="n">
        <f aca="false">SUM(F39:F43)</f>
        <v>-68.2873740521469</v>
      </c>
      <c r="G44" s="174" t="n">
        <f aca="false">SUM(G39:G43)</f>
        <v>-106.157322776989</v>
      </c>
      <c r="H44" s="174" t="n">
        <f aca="false">SUM(H39:H43)</f>
        <v>0</v>
      </c>
      <c r="I44" s="174" t="n">
        <f aca="false">SUM(I39:I43)</f>
        <v>0</v>
      </c>
      <c r="J44" s="174" t="n">
        <f aca="false">SUM(J39:J43)</f>
        <v>0</v>
      </c>
      <c r="K44" s="174" t="n">
        <f aca="false">SUM(K39:K43)</f>
        <v>0</v>
      </c>
      <c r="L44" s="174" t="n">
        <f aca="false">SUM(L39:L43)</f>
        <v>0</v>
      </c>
      <c r="M44" s="174" t="n">
        <f aca="false">SUM(M39:M43)</f>
        <v>0</v>
      </c>
      <c r="N44" s="174" t="n">
        <f aca="false">SUM(N39:N43)</f>
        <v>0</v>
      </c>
      <c r="O44" s="174" t="n">
        <f aca="false">SUM(O39:O43)</f>
        <v>0</v>
      </c>
      <c r="P44" s="174" t="n">
        <f aca="false">SUM(P39:P43)</f>
        <v>0</v>
      </c>
      <c r="Q44" s="174" t="n">
        <f aca="false">SUM(Q39:Q43)</f>
        <v>0</v>
      </c>
      <c r="R44" s="174" t="n">
        <f aca="false">SUM(R39:R43)</f>
        <v>0</v>
      </c>
      <c r="S44" s="174" t="n">
        <f aca="false">SUM(S39:S43)</f>
        <v>0</v>
      </c>
      <c r="T44" s="174" t="n">
        <f aca="false">SUM(T39:T43)</f>
        <v>0</v>
      </c>
      <c r="U44" s="174" t="n">
        <f aca="false">SUM(U39:U43)</f>
        <v>0</v>
      </c>
      <c r="V44" s="174" t="n">
        <f aca="false">SUM(V39:V43)</f>
        <v>0</v>
      </c>
      <c r="W44" s="174" t="n">
        <f aca="false">SUM(W39:W43)</f>
        <v>0</v>
      </c>
      <c r="X44" s="174" t="n">
        <f aca="false">SUM(X39:X43)</f>
        <v>0</v>
      </c>
      <c r="Y44" s="174" t="n">
        <f aca="false">SUM(Y39:Y43)</f>
        <v>0</v>
      </c>
      <c r="Z44" s="174" t="n">
        <f aca="false">SUM(Z39:Z43)</f>
        <v>0</v>
      </c>
      <c r="AA44" s="482" t="n">
        <f aca="false">SUM(E44:Z44)</f>
        <v>-174.444696829136</v>
      </c>
    </row>
    <row r="45" customFormat="false" ht="12.75" hidden="false" customHeight="false" outlineLevel="0" collapsed="false">
      <c r="A45" s="37"/>
      <c r="B45" s="39"/>
      <c r="C45" s="39"/>
      <c r="D45" s="39"/>
      <c r="E45" s="502"/>
      <c r="F45" s="502"/>
      <c r="G45" s="502"/>
      <c r="H45" s="502"/>
      <c r="I45" s="502"/>
      <c r="J45" s="502"/>
      <c r="K45" s="502"/>
      <c r="L45" s="502"/>
      <c r="M45" s="502"/>
      <c r="N45" s="502"/>
      <c r="O45" s="502"/>
      <c r="P45" s="502"/>
      <c r="Q45" s="502"/>
      <c r="R45" s="502"/>
      <c r="S45" s="502"/>
      <c r="T45" s="502"/>
      <c r="U45" s="502"/>
      <c r="V45" s="502"/>
      <c r="W45" s="502"/>
      <c r="X45" s="502"/>
      <c r="Y45" s="502"/>
      <c r="Z45" s="502"/>
      <c r="AA45" s="492"/>
    </row>
    <row r="46" customFormat="false" ht="12.75" hidden="false" customHeight="false" outlineLevel="0" collapsed="false">
      <c r="A46" s="114" t="s">
        <v>445</v>
      </c>
      <c r="B46" s="39"/>
      <c r="C46" s="39"/>
      <c r="D46" s="39"/>
      <c r="E46" s="502"/>
      <c r="F46" s="502"/>
      <c r="G46" s="502"/>
      <c r="H46" s="502"/>
      <c r="I46" s="502"/>
      <c r="J46" s="502"/>
      <c r="K46" s="502"/>
      <c r="L46" s="502"/>
      <c r="M46" s="502"/>
      <c r="N46" s="502"/>
      <c r="O46" s="502"/>
      <c r="P46" s="502"/>
      <c r="Q46" s="502"/>
      <c r="R46" s="502"/>
      <c r="S46" s="502"/>
      <c r="T46" s="502"/>
      <c r="U46" s="502"/>
      <c r="V46" s="502"/>
      <c r="W46" s="502"/>
      <c r="X46" s="502"/>
      <c r="Y46" s="502"/>
      <c r="Z46" s="502"/>
      <c r="AA46" s="492"/>
    </row>
    <row r="47" customFormat="false" ht="12.75" hidden="false" customHeight="false" outlineLevel="0" collapsed="false">
      <c r="A47" s="37"/>
      <c r="B47" s="39" t="s">
        <v>446</v>
      </c>
      <c r="C47" s="39"/>
      <c r="D47" s="39"/>
      <c r="E47" s="174" t="n">
        <f aca="false">E21</f>
        <v>0</v>
      </c>
      <c r="F47" s="174" t="n">
        <f aca="false">F21</f>
        <v>0</v>
      </c>
      <c r="G47" s="174" t="n">
        <f aca="false">G21</f>
        <v>0</v>
      </c>
      <c r="H47" s="174" t="n">
        <f aca="false">H21</f>
        <v>-1624.73532078329</v>
      </c>
      <c r="I47" s="174" t="n">
        <f aca="false">I21</f>
        <v>-3119.61504958554</v>
      </c>
      <c r="J47" s="174" t="n">
        <f aca="false">J21</f>
        <v>-3177.77610959431</v>
      </c>
      <c r="K47" s="174" t="n">
        <f aca="false">K21</f>
        <v>-1543.47739174434</v>
      </c>
      <c r="L47" s="174" t="n">
        <f aca="false">L21</f>
        <v>-1122.09715513333</v>
      </c>
      <c r="M47" s="174" t="n">
        <f aca="false">M21</f>
        <v>-788.65315068863</v>
      </c>
      <c r="N47" s="174" t="n">
        <f aca="false">N21</f>
        <v>-357.483113423834</v>
      </c>
      <c r="O47" s="174" t="n">
        <f aca="false">O21</f>
        <v>20.2059061643654</v>
      </c>
      <c r="P47" s="174" t="n">
        <f aca="false">P21</f>
        <v>432.766248696035</v>
      </c>
      <c r="Q47" s="174" t="n">
        <f aca="false">Q21</f>
        <v>783.65970905081</v>
      </c>
      <c r="R47" s="174" t="n">
        <f aca="false">R21</f>
        <v>1242.41501447404</v>
      </c>
      <c r="S47" s="174" t="n">
        <f aca="false">S21</f>
        <v>1757.11829442746</v>
      </c>
      <c r="T47" s="174" t="n">
        <f aca="false">T21</f>
        <v>1811.87671736148</v>
      </c>
      <c r="U47" s="174" t="n">
        <f aca="false">U21</f>
        <v>2636.8368085953</v>
      </c>
      <c r="V47" s="174" t="n">
        <f aca="false">V21</f>
        <v>3166.79098510534</v>
      </c>
      <c r="W47" s="174" t="n">
        <f aca="false">W21</f>
        <v>3586.29213642769</v>
      </c>
      <c r="X47" s="174" t="n">
        <f aca="false">X21</f>
        <v>3953.28365576063</v>
      </c>
      <c r="Y47" s="174" t="n">
        <f aca="false">Y21</f>
        <v>4278.22502312119</v>
      </c>
      <c r="Z47" s="174" t="n">
        <f aca="false">Z21</f>
        <v>1439.19498111688</v>
      </c>
      <c r="AA47" s="482" t="n">
        <f aca="false">SUM(E47:Z47)</f>
        <v>13374.8281893479</v>
      </c>
    </row>
    <row r="48" customFormat="false" ht="12.75" hidden="false" customHeight="false" outlineLevel="0" collapsed="false">
      <c r="A48" s="37"/>
      <c r="B48" s="39" t="s">
        <v>447</v>
      </c>
      <c r="C48" s="39"/>
      <c r="D48" s="39"/>
      <c r="E48" s="174" t="n">
        <f aca="false">E37</f>
        <v>265.752308958537</v>
      </c>
      <c r="F48" s="174" t="n">
        <f aca="false">F37</f>
        <v>1024.89008079482</v>
      </c>
      <c r="G48" s="174" t="n">
        <f aca="false">G37</f>
        <v>18.1731602466416</v>
      </c>
      <c r="H48" s="174" t="n">
        <f aca="false">H37</f>
        <v>45.6572890990494</v>
      </c>
      <c r="I48" s="174" t="n">
        <f aca="false">I37</f>
        <v>78.4859543470576</v>
      </c>
      <c r="J48" s="174" t="n">
        <f aca="false">J37</f>
        <v>103.753605594898</v>
      </c>
      <c r="K48" s="174" t="n">
        <f aca="false">K37</f>
        <v>132.145065232178</v>
      </c>
      <c r="L48" s="174" t="n">
        <f aca="false">L37</f>
        <v>242.658632280386</v>
      </c>
      <c r="M48" s="174" t="n">
        <f aca="false">M37</f>
        <v>365.139173150622</v>
      </c>
      <c r="N48" s="174" t="n">
        <f aca="false">N37</f>
        <v>462.380993593354</v>
      </c>
      <c r="O48" s="174" t="n">
        <f aca="false">O37</f>
        <v>566.638579746622</v>
      </c>
      <c r="P48" s="174" t="n">
        <f aca="false">P37</f>
        <v>672.972033470814</v>
      </c>
      <c r="Q48" s="174" t="n">
        <f aca="false">Q37</f>
        <v>772.209536055881</v>
      </c>
      <c r="R48" s="174" t="n">
        <f aca="false">R37</f>
        <v>792.196429516112</v>
      </c>
      <c r="S48" s="174" t="n">
        <f aca="false">S37</f>
        <v>760.701776623613</v>
      </c>
      <c r="T48" s="174" t="n">
        <f aca="false">T37</f>
        <v>732.6523298094</v>
      </c>
      <c r="U48" s="174" t="n">
        <f aca="false">U37</f>
        <v>708.044727845426</v>
      </c>
      <c r="V48" s="174" t="n">
        <f aca="false">V37</f>
        <v>618.558337904158</v>
      </c>
      <c r="W48" s="174" t="n">
        <f aca="false">W37</f>
        <v>504.432903471461</v>
      </c>
      <c r="X48" s="174" t="n">
        <f aca="false">X37</f>
        <v>349.342946062074</v>
      </c>
      <c r="Y48" s="174" t="n">
        <f aca="false">Y37</f>
        <v>105.133035674946</v>
      </c>
      <c r="Z48" s="174" t="n">
        <f aca="false">Z37</f>
        <v>-138.979455148768</v>
      </c>
      <c r="AA48" s="482" t="n">
        <f aca="false">SUM(E48:Z48)</f>
        <v>9182.93944432928</v>
      </c>
    </row>
    <row r="49" customFormat="false" ht="12.75" hidden="false" customHeight="false" outlineLevel="0" collapsed="false">
      <c r="A49" s="37"/>
      <c r="B49" s="39" t="s">
        <v>448</v>
      </c>
      <c r="C49" s="39"/>
      <c r="D49" s="39"/>
      <c r="E49" s="484" t="n">
        <f aca="false">E44</f>
        <v>0</v>
      </c>
      <c r="F49" s="484" t="n">
        <f aca="false">F44</f>
        <v>-68.2873740521469</v>
      </c>
      <c r="G49" s="484" t="n">
        <f aca="false">G44</f>
        <v>-106.157322776989</v>
      </c>
      <c r="H49" s="484" t="n">
        <f aca="false">H44</f>
        <v>0</v>
      </c>
      <c r="I49" s="484" t="n">
        <f aca="false">I44</f>
        <v>0</v>
      </c>
      <c r="J49" s="484" t="n">
        <f aca="false">J44</f>
        <v>0</v>
      </c>
      <c r="K49" s="484" t="n">
        <f aca="false">K44</f>
        <v>0</v>
      </c>
      <c r="L49" s="484" t="n">
        <f aca="false">L44</f>
        <v>0</v>
      </c>
      <c r="M49" s="484" t="n">
        <f aca="false">M44</f>
        <v>0</v>
      </c>
      <c r="N49" s="484" t="n">
        <f aca="false">N44</f>
        <v>0</v>
      </c>
      <c r="O49" s="484" t="n">
        <f aca="false">O44</f>
        <v>0</v>
      </c>
      <c r="P49" s="484" t="n">
        <f aca="false">P44</f>
        <v>0</v>
      </c>
      <c r="Q49" s="484" t="n">
        <f aca="false">Q44</f>
        <v>0</v>
      </c>
      <c r="R49" s="484" t="n">
        <f aca="false">R44</f>
        <v>0</v>
      </c>
      <c r="S49" s="484" t="n">
        <f aca="false">S44</f>
        <v>0</v>
      </c>
      <c r="T49" s="484" t="n">
        <f aca="false">T44</f>
        <v>0</v>
      </c>
      <c r="U49" s="484" t="n">
        <f aca="false">U44</f>
        <v>0</v>
      </c>
      <c r="V49" s="484" t="n">
        <f aca="false">V44</f>
        <v>0</v>
      </c>
      <c r="W49" s="484" t="n">
        <f aca="false">W44</f>
        <v>0</v>
      </c>
      <c r="X49" s="484" t="n">
        <f aca="false">X44</f>
        <v>0</v>
      </c>
      <c r="Y49" s="484" t="n">
        <f aca="false">Y44</f>
        <v>0</v>
      </c>
      <c r="Z49" s="484" t="n">
        <f aca="false">Z44</f>
        <v>0</v>
      </c>
      <c r="AA49" s="485" t="n">
        <f aca="false">SUM(E49:Z49)</f>
        <v>-174.444696829136</v>
      </c>
    </row>
    <row r="50" customFormat="false" ht="12.75" hidden="false" customHeight="false" outlineLevel="0" collapsed="false">
      <c r="A50" s="37"/>
      <c r="B50" s="38" t="s">
        <v>449</v>
      </c>
      <c r="C50" s="39"/>
      <c r="D50" s="39"/>
      <c r="E50" s="174" t="n">
        <f aca="false">SUM(E46:E49)</f>
        <v>265.752308958537</v>
      </c>
      <c r="F50" s="174" t="n">
        <f aca="false">SUM(F46:F49)</f>
        <v>956.602706742675</v>
      </c>
      <c r="G50" s="174" t="n">
        <f aca="false">SUM(G46:G49)</f>
        <v>-87.9841625303478</v>
      </c>
      <c r="H50" s="174" t="n">
        <f aca="false">SUM(H46:H49)</f>
        <v>-1579.07803168424</v>
      </c>
      <c r="I50" s="174" t="n">
        <f aca="false">SUM(I46:I49)</f>
        <v>-3041.12909523849</v>
      </c>
      <c r="J50" s="174" t="n">
        <f aca="false">SUM(J46:J49)</f>
        <v>-3074.02250399942</v>
      </c>
      <c r="K50" s="174" t="n">
        <f aca="false">SUM(K46:K49)</f>
        <v>-1411.33232651216</v>
      </c>
      <c r="L50" s="174" t="n">
        <f aca="false">SUM(L46:L49)</f>
        <v>-879.438522852939</v>
      </c>
      <c r="M50" s="174" t="n">
        <f aca="false">SUM(M46:M49)</f>
        <v>-423.513977538008</v>
      </c>
      <c r="N50" s="174" t="n">
        <f aca="false">SUM(N46:N49)</f>
        <v>104.89788016952</v>
      </c>
      <c r="O50" s="174" t="n">
        <f aca="false">SUM(O46:O49)</f>
        <v>586.844485910988</v>
      </c>
      <c r="P50" s="174" t="n">
        <f aca="false">SUM(P46:P49)</f>
        <v>1105.73828216685</v>
      </c>
      <c r="Q50" s="174" t="n">
        <f aca="false">SUM(Q46:Q49)</f>
        <v>1555.86924510669</v>
      </c>
      <c r="R50" s="174" t="n">
        <f aca="false">SUM(R46:R49)</f>
        <v>2034.61144399015</v>
      </c>
      <c r="S50" s="174" t="n">
        <f aca="false">SUM(S46:S49)</f>
        <v>2517.82007105107</v>
      </c>
      <c r="T50" s="174" t="n">
        <f aca="false">SUM(T46:T49)</f>
        <v>2544.52904717088</v>
      </c>
      <c r="U50" s="174" t="n">
        <f aca="false">SUM(U46:U49)</f>
        <v>3344.88153644073</v>
      </c>
      <c r="V50" s="174" t="n">
        <f aca="false">SUM(V46:V49)</f>
        <v>3785.3493230095</v>
      </c>
      <c r="W50" s="174" t="n">
        <f aca="false">SUM(W46:W49)</f>
        <v>4090.72503989915</v>
      </c>
      <c r="X50" s="174" t="n">
        <f aca="false">SUM(X46:X49)</f>
        <v>4302.6266018227</v>
      </c>
      <c r="Y50" s="174" t="n">
        <f aca="false">SUM(Y46:Y49)</f>
        <v>4383.35805879614</v>
      </c>
      <c r="Z50" s="174" t="n">
        <f aca="false">SUM(Z46:Z49)</f>
        <v>1300.21552596811</v>
      </c>
      <c r="AA50" s="482" t="n">
        <f aca="false">SUM(E50:Z50)</f>
        <v>22383.3229368481</v>
      </c>
    </row>
    <row r="51" customFormat="false" ht="12.75" hidden="false" customHeight="false" outlineLevel="0" collapsed="false">
      <c r="A51" s="37"/>
      <c r="B51" s="39" t="s">
        <v>450</v>
      </c>
      <c r="C51" s="39"/>
      <c r="D51" s="311" t="s">
        <v>451</v>
      </c>
      <c r="E51" s="174" t="n">
        <f aca="false">IF(E$7&lt;YEAR(Startops1),0,-E69)</f>
        <v>0</v>
      </c>
      <c r="F51" s="174" t="n">
        <f aca="false">IF(F$7&lt;YEAR(Startops1),0,-F69)</f>
        <v>0</v>
      </c>
      <c r="G51" s="174" t="n">
        <f aca="false">IF(G$7&lt;YEAR(Startops1),0,-G69)</f>
        <v>0</v>
      </c>
      <c r="H51" s="174" t="n">
        <f aca="false">IF(H$7&lt;YEAR(Startops1),0,-H69)</f>
        <v>-818.943404111633</v>
      </c>
      <c r="I51" s="174" t="n">
        <f aca="false">IF(I$7&lt;YEAR(Startops1),0,-I69)</f>
        <v>-986.56320721258</v>
      </c>
      <c r="J51" s="174" t="n">
        <f aca="false">IF(J$7&lt;YEAR(Startops1),0,-J69)</f>
        <v>-1188.35913711032</v>
      </c>
      <c r="K51" s="174" t="n">
        <f aca="false">IF(K$7&lt;YEAR(Startops1),0,-K69)</f>
        <v>-1348.28027686523</v>
      </c>
      <c r="L51" s="174" t="n">
        <f aca="false">IF(L$7&lt;YEAR(Startops1),0,-L69)</f>
        <v>-1513.28723945345</v>
      </c>
      <c r="M51" s="174" t="n">
        <f aca="false">IF(M$7&lt;YEAR(Startops1),0,-M69)</f>
        <v>-1674.08942100619</v>
      </c>
      <c r="N51" s="174" t="n">
        <f aca="false">IF(N$7&lt;YEAR(Startops1),0,-N69)</f>
        <v>-1816.54850070625</v>
      </c>
      <c r="O51" s="174" t="n">
        <f aca="false">IF(O$7&lt;YEAR(Startops1),0,-O69)</f>
        <v>-1863.27671369168</v>
      </c>
      <c r="P51" s="174" t="n">
        <f aca="false">IF(P$7&lt;YEAR(Startops1),0,-P69)</f>
        <v>-1815.06818063995</v>
      </c>
      <c r="Q51" s="174" t="n">
        <f aca="false">IF(Q$7&lt;YEAR(Startops1),0,-Q69)</f>
        <v>-1741.34422177051</v>
      </c>
      <c r="R51" s="174" t="n">
        <f aca="false">IF(R$7&lt;YEAR(Startops1),0,-R69)</f>
        <v>-1672.65234759846</v>
      </c>
      <c r="S51" s="174" t="n">
        <f aca="false">IF(S$7&lt;YEAR(Startops1),0,-S69)</f>
        <v>-1609.08941096184</v>
      </c>
      <c r="T51" s="174" t="n">
        <f aca="false">IF(T$7&lt;YEAR(Startops1),0,-T69)</f>
        <v>-1430.27731523699</v>
      </c>
      <c r="U51" s="174" t="n">
        <f aca="false">IF(U$7&lt;YEAR(Startops1),0,-U69)</f>
        <v>-1203.13096441678</v>
      </c>
      <c r="V51" s="174" t="n">
        <f aca="false">IF(V$7&lt;YEAR(Startops1),0,-V69)</f>
        <v>-881.80872792484</v>
      </c>
      <c r="W51" s="174" t="n">
        <f aca="false">IF(W$7&lt;YEAR(Startops1),0,-W69)</f>
        <v>-380.763972866205</v>
      </c>
      <c r="X51" s="174" t="n">
        <f aca="false">IF(X$7&lt;YEAR(Startops1),0,-X69)</f>
        <v>139.042534782654</v>
      </c>
      <c r="Y51" s="174" t="n">
        <f aca="false">IF(Y$7&lt;YEAR(Startops1),0,-Y69)</f>
        <v>666.84320331522</v>
      </c>
      <c r="Z51" s="174" t="n">
        <f aca="false">IF(Z$7&lt;YEAR(Startops1),0,-Z69)</f>
        <v>7061.62395885854</v>
      </c>
      <c r="AA51" s="482" t="n">
        <f aca="false">SUM(E51:Z51)</f>
        <v>-14075.9733446165</v>
      </c>
      <c r="AB51" s="483" t="s">
        <v>452</v>
      </c>
    </row>
    <row r="52" customFormat="false" ht="12.75" hidden="false" customHeight="false" outlineLevel="0" collapsed="false">
      <c r="A52" s="37"/>
      <c r="B52" s="39" t="s">
        <v>453</v>
      </c>
      <c r="C52" s="39"/>
      <c r="D52" s="311" t="s">
        <v>451</v>
      </c>
      <c r="E52" s="174" t="n">
        <f aca="false">IF(E$7&gt;=YEAR(Startops1),-($AA69+$AA51)*E$9/$AA$9,0)</f>
        <v>0</v>
      </c>
      <c r="F52" s="174" t="n">
        <f aca="false">IF(F$7&gt;=YEAR(Startops1),-($AA69+$AA51)*F$9/$AA$9,0)</f>
        <v>0</v>
      </c>
      <c r="G52" s="174" t="n">
        <f aca="false">IF(G$7&gt;=YEAR(Startops1),-($AA69+$AA51)*G$9/$AA$9,0)</f>
        <v>0</v>
      </c>
      <c r="H52" s="174" t="n">
        <f aca="false">IF(H$7&gt;=YEAR(Startops1),-($AA69+$AA51)*H$9/$AA$9,0)</f>
        <v>-80.4716267610596</v>
      </c>
      <c r="I52" s="174" t="n">
        <f aca="false">IF(I$7&gt;=YEAR(Startops1),-($AA69+$AA51)*I$9/$AA$9,0)</f>
        <v>-96.5659521132716</v>
      </c>
      <c r="J52" s="174" t="n">
        <f aca="false">IF(J$7&gt;=YEAR(Startops1),-($AA69+$AA51)*J$9/$AA$9,0)</f>
        <v>-96.5659521132716</v>
      </c>
      <c r="K52" s="174" t="n">
        <f aca="false">IF(K$7&gt;=YEAR(Startops1),-($AA69+$AA51)*K$9/$AA$9,0)</f>
        <v>-96.5659521132716</v>
      </c>
      <c r="L52" s="174" t="n">
        <f aca="false">IF(L$7&gt;=YEAR(Startops1),-($AA69+$AA51)*L$9/$AA$9,0)</f>
        <v>-96.5659521132716</v>
      </c>
      <c r="M52" s="174" t="n">
        <f aca="false">IF(M$7&gt;=YEAR(Startops1),-($AA69+$AA51)*M$9/$AA$9,0)</f>
        <v>-96.5659521132716</v>
      </c>
      <c r="N52" s="174" t="n">
        <f aca="false">IF(N$7&gt;=YEAR(Startops1),-($AA69+$AA51)*N$9/$AA$9,0)</f>
        <v>-96.5659521132716</v>
      </c>
      <c r="O52" s="174" t="n">
        <f aca="false">IF(O$7&gt;=YEAR(Startops1),-($AA69+$AA51)*O$9/$AA$9,0)</f>
        <v>-96.5659521132716</v>
      </c>
      <c r="P52" s="174" t="n">
        <f aca="false">IF(P$7&gt;=YEAR(Startops1),-($AA69+$AA51)*P$9/$AA$9,0)</f>
        <v>-96.5659521132716</v>
      </c>
      <c r="Q52" s="174" t="n">
        <f aca="false">IF(Q$7&gt;=YEAR(Startops1),-($AA69+$AA51)*Q$9/$AA$9,0)</f>
        <v>-96.5659521132716</v>
      </c>
      <c r="R52" s="174" t="n">
        <f aca="false">IF(R$7&gt;=YEAR(Startops1),-($AA69+$AA51)*R$9/$AA$9,0)</f>
        <v>-96.5659521132716</v>
      </c>
      <c r="S52" s="174" t="n">
        <f aca="false">IF(S$7&gt;=YEAR(Startops1),-($AA69+$AA51)*S$9/$AA$9,0)</f>
        <v>-96.5659521132716</v>
      </c>
      <c r="T52" s="174" t="n">
        <f aca="false">IF(T$7&gt;=YEAR(Startops1),-($AA69+$AA51)*T$9/$AA$9,0)</f>
        <v>-96.5659521132716</v>
      </c>
      <c r="U52" s="174" t="n">
        <f aca="false">IF(U$7&gt;=YEAR(Startops1),-($AA69+$AA51)*U$9/$AA$9,0)</f>
        <v>-96.5659521132716</v>
      </c>
      <c r="V52" s="174" t="n">
        <f aca="false">IF(V$7&gt;=YEAR(Startops1),-($AA69+$AA51)*V$9/$AA$9,0)</f>
        <v>-96.5659521132716</v>
      </c>
      <c r="W52" s="174" t="n">
        <f aca="false">IF(W$7&gt;=YEAR(Startops1),-($AA69+$AA51)*W$9/$AA$9,0)</f>
        <v>-96.5659521132716</v>
      </c>
      <c r="X52" s="174" t="n">
        <f aca="false">IF(X$7&gt;=YEAR(Startops1),-($AA69+$AA51)*X$9/$AA$9,0)</f>
        <v>-96.5659521132716</v>
      </c>
      <c r="Y52" s="174" t="n">
        <f aca="false">IF(Y$7&gt;=YEAR(Startops1),-($AA69+$AA51)*Y$9/$AA$9,0)</f>
        <v>-96.5659521132716</v>
      </c>
      <c r="Z52" s="174" t="n">
        <f aca="false">IF(Z$7&gt;=YEAR(Startops1),-($AA69+$AA51)*Z$9/$AA$9,0)</f>
        <v>-32.1886507044239</v>
      </c>
      <c r="AA52" s="482" t="n">
        <f aca="false">SUM(E52:Z52)</f>
        <v>-1754.2814633911</v>
      </c>
      <c r="AB52" s="503"/>
    </row>
    <row r="53" customFormat="false" ht="12.75" hidden="false" customHeight="false" outlineLevel="0" collapsed="false">
      <c r="A53" s="37"/>
      <c r="B53" s="39" t="s">
        <v>454</v>
      </c>
      <c r="C53" s="39"/>
      <c r="D53" s="39"/>
      <c r="E53" s="484" t="n">
        <f aca="false">-SUM(E51:E52)*USTax</f>
        <v>-0</v>
      </c>
      <c r="F53" s="484" t="n">
        <f aca="false">-SUM(F51:F52)*USTax</f>
        <v>-0</v>
      </c>
      <c r="G53" s="484" t="n">
        <f aca="false">-SUM(G51:G52)*USTax</f>
        <v>-0</v>
      </c>
      <c r="H53" s="484" t="n">
        <f aca="false">-SUM(H51:H52)*USTax</f>
        <v>332.783561422896</v>
      </c>
      <c r="I53" s="484" t="n">
        <f aca="false">-SUM(I51:I52)*USTax</f>
        <v>400.757788950565</v>
      </c>
      <c r="J53" s="484" t="n">
        <f aca="false">-SUM(J51:J52)*USTax</f>
        <v>475.422283012729</v>
      </c>
      <c r="K53" s="484" t="n">
        <f aca="false">-SUM(K51:K52)*USTax</f>
        <v>534.593104722047</v>
      </c>
      <c r="L53" s="484" t="n">
        <f aca="false">-SUM(L51:L52)*USTax</f>
        <v>595.645680879689</v>
      </c>
      <c r="M53" s="484" t="n">
        <f aca="false">-SUM(M51:M52)*USTax</f>
        <v>655.1424880542</v>
      </c>
      <c r="N53" s="484" t="n">
        <f aca="false">-SUM(N51:N52)*USTax</f>
        <v>707.852347543222</v>
      </c>
      <c r="O53" s="484" t="n">
        <f aca="false">-SUM(O51:O52)*USTax</f>
        <v>725.141786347833</v>
      </c>
      <c r="P53" s="484" t="n">
        <f aca="false">-SUM(P51:P52)*USTax</f>
        <v>707.304629118691</v>
      </c>
      <c r="Q53" s="484" t="n">
        <f aca="false">-SUM(Q51:Q52)*USTax</f>
        <v>680.026764336998</v>
      </c>
      <c r="R53" s="484" t="n">
        <f aca="false">-SUM(R51:R52)*USTax</f>
        <v>654.610770893339</v>
      </c>
      <c r="S53" s="484" t="n">
        <f aca="false">-SUM(S51:S52)*USTax</f>
        <v>631.092484337791</v>
      </c>
      <c r="T53" s="484" t="n">
        <f aca="false">-SUM(T51:T52)*USTax</f>
        <v>564.932008919597</v>
      </c>
      <c r="U53" s="484" t="n">
        <f aca="false">-SUM(U51:U52)*USTax</f>
        <v>480.887859116118</v>
      </c>
      <c r="V53" s="484" t="n">
        <f aca="false">-SUM(V51:V52)*USTax</f>
        <v>361.998631614101</v>
      </c>
      <c r="W53" s="484" t="n">
        <f aca="false">-SUM(W51:W52)*USTax</f>
        <v>176.612072242406</v>
      </c>
      <c r="X53" s="484" t="n">
        <f aca="false">-SUM(X51:X52)*USTax</f>
        <v>-15.7163355876714</v>
      </c>
      <c r="Y53" s="484" t="n">
        <f aca="false">-SUM(Y51:Y52)*USTax</f>
        <v>-211.002582944721</v>
      </c>
      <c r="Z53" s="484" t="n">
        <f aca="false">-SUM(Z51:Z52)*USTax</f>
        <v>-2600.89106401702</v>
      </c>
      <c r="AA53" s="485" t="n">
        <f aca="false">SUM(E53:Z53)</f>
        <v>5857.19427896281</v>
      </c>
    </row>
    <row r="54" customFormat="false" ht="12.75" hidden="false" customHeight="false" outlineLevel="0" collapsed="false">
      <c r="A54" s="37"/>
      <c r="B54" s="38" t="s">
        <v>455</v>
      </c>
      <c r="C54" s="39"/>
      <c r="D54" s="39"/>
      <c r="E54" s="174" t="n">
        <f aca="false">SUM(E50:E53)</f>
        <v>265.752308958537</v>
      </c>
      <c r="F54" s="174" t="n">
        <f aca="false">SUM(F50:F53)</f>
        <v>956.602706742675</v>
      </c>
      <c r="G54" s="174" t="n">
        <f aca="false">SUM(G50:G53)</f>
        <v>-87.9841625303478</v>
      </c>
      <c r="H54" s="174" t="n">
        <f aca="false">SUM(H50:H53)</f>
        <v>-2145.70950113404</v>
      </c>
      <c r="I54" s="174" t="n">
        <f aca="false">SUM(I50:I53)</f>
        <v>-3723.50046561377</v>
      </c>
      <c r="J54" s="174" t="n">
        <f aca="false">SUM(J50:J53)</f>
        <v>-3883.52531021028</v>
      </c>
      <c r="K54" s="174" t="n">
        <f aca="false">SUM(K50:K53)</f>
        <v>-2321.58545076862</v>
      </c>
      <c r="L54" s="174" t="n">
        <f aca="false">SUM(L50:L53)</f>
        <v>-1893.64603353998</v>
      </c>
      <c r="M54" s="174" t="n">
        <f aca="false">SUM(M50:M53)</f>
        <v>-1539.02686260327</v>
      </c>
      <c r="N54" s="174" t="n">
        <f aca="false">SUM(N50:N53)</f>
        <v>-1100.36422510678</v>
      </c>
      <c r="O54" s="174" t="n">
        <f aca="false">SUM(O50:O53)</f>
        <v>-647.856393546133</v>
      </c>
      <c r="P54" s="174" t="n">
        <f aca="false">SUM(P50:P53)</f>
        <v>-98.5912214676793</v>
      </c>
      <c r="Q54" s="174" t="n">
        <f aca="false">SUM(Q50:Q53)</f>
        <v>397.985835559911</v>
      </c>
      <c r="R54" s="174" t="n">
        <f aca="false">SUM(R50:R53)</f>
        <v>920.00391517176</v>
      </c>
      <c r="S54" s="174" t="n">
        <f aca="false">SUM(S50:S53)</f>
        <v>1443.25719231376</v>
      </c>
      <c r="T54" s="174" t="n">
        <f aca="false">SUM(T50:T53)</f>
        <v>1582.61778874022</v>
      </c>
      <c r="U54" s="174" t="n">
        <f aca="false">SUM(U50:U53)</f>
        <v>2526.0724790268</v>
      </c>
      <c r="V54" s="174" t="n">
        <f aca="false">SUM(V50:V53)</f>
        <v>3168.97327458549</v>
      </c>
      <c r="W54" s="174" t="n">
        <f aca="false">SUM(W50:W53)</f>
        <v>3790.00718716208</v>
      </c>
      <c r="X54" s="174" t="n">
        <f aca="false">SUM(X50:X53)</f>
        <v>4329.38684890441</v>
      </c>
      <c r="Y54" s="174" t="n">
        <f aca="false">SUM(Y50:Y53)</f>
        <v>4742.63272705336</v>
      </c>
      <c r="Z54" s="174" t="n">
        <f aca="false">SUM(Z50:Z53)</f>
        <v>5728.75977010521</v>
      </c>
      <c r="AA54" s="482" t="n">
        <f aca="false">SUM(E54:Z54)</f>
        <v>12410.2624078033</v>
      </c>
    </row>
    <row r="55" customFormat="false" ht="12.75" hidden="false" customHeight="false" outlineLevel="0" collapsed="false">
      <c r="A55" s="37"/>
      <c r="B55" s="39"/>
      <c r="C55" s="39"/>
      <c r="D55" s="39"/>
      <c r="E55" s="502"/>
      <c r="F55" s="502"/>
      <c r="G55" s="502"/>
      <c r="H55" s="502"/>
      <c r="I55" s="502"/>
      <c r="J55" s="502"/>
      <c r="K55" s="502"/>
      <c r="L55" s="502"/>
      <c r="M55" s="502"/>
      <c r="N55" s="502"/>
      <c r="O55" s="502"/>
      <c r="P55" s="502"/>
      <c r="Q55" s="502"/>
      <c r="R55" s="502"/>
      <c r="S55" s="502"/>
      <c r="T55" s="502"/>
      <c r="U55" s="502"/>
      <c r="V55" s="502"/>
      <c r="W55" s="502"/>
      <c r="X55" s="502"/>
      <c r="Y55" s="502"/>
      <c r="Z55" s="502"/>
      <c r="AA55" s="504"/>
    </row>
    <row r="56" customFormat="false" ht="12.75" hidden="false" customHeight="false" outlineLevel="0" collapsed="false">
      <c r="A56" s="37"/>
      <c r="B56" s="105" t="s">
        <v>456</v>
      </c>
      <c r="C56" s="39"/>
      <c r="D56" s="39"/>
      <c r="E56" s="174" t="n">
        <f aca="false">SUM($E50:E50)</f>
        <v>265.752308958537</v>
      </c>
      <c r="F56" s="174" t="n">
        <f aca="false">SUM($E50:F50)</f>
        <v>1222.35501570121</v>
      </c>
      <c r="G56" s="174" t="n">
        <f aca="false">SUM($E50:G50)</f>
        <v>1134.37085317086</v>
      </c>
      <c r="H56" s="174" t="n">
        <f aca="false">SUM($E50:H50)</f>
        <v>-444.707178513377</v>
      </c>
      <c r="I56" s="174" t="n">
        <f aca="false">SUM($E50:I50)</f>
        <v>-3485.83627375186</v>
      </c>
      <c r="J56" s="174" t="n">
        <f aca="false">SUM($E50:J50)</f>
        <v>-6559.85877775128</v>
      </c>
      <c r="K56" s="174" t="n">
        <f aca="false">SUM($E50:K50)</f>
        <v>-7971.19110426344</v>
      </c>
      <c r="L56" s="174" t="n">
        <f aca="false">SUM($E50:L50)</f>
        <v>-8850.62962711638</v>
      </c>
      <c r="M56" s="174" t="n">
        <f aca="false">SUM($E50:M50)</f>
        <v>-9274.14360465438</v>
      </c>
      <c r="N56" s="174" t="n">
        <f aca="false">SUM($E50:N50)</f>
        <v>-9169.24572448486</v>
      </c>
      <c r="O56" s="174" t="n">
        <f aca="false">SUM($E50:O50)</f>
        <v>-8582.40123857388</v>
      </c>
      <c r="P56" s="174" t="n">
        <f aca="false">SUM($E50:P50)</f>
        <v>-7476.66295640703</v>
      </c>
      <c r="Q56" s="174" t="n">
        <f aca="false">SUM($E50:Q50)</f>
        <v>-5920.79371130034</v>
      </c>
      <c r="R56" s="174" t="n">
        <f aca="false">SUM($E50:R50)</f>
        <v>-3886.18226731019</v>
      </c>
      <c r="S56" s="174" t="n">
        <f aca="false">SUM($E50:S50)</f>
        <v>-1368.36219625911</v>
      </c>
      <c r="T56" s="174" t="n">
        <f aca="false">SUM($E50:T50)</f>
        <v>1176.16685091177</v>
      </c>
      <c r="U56" s="174" t="n">
        <f aca="false">SUM($E50:U50)</f>
        <v>4521.04838735249</v>
      </c>
      <c r="V56" s="174" t="n">
        <f aca="false">SUM($E50:V50)</f>
        <v>8306.397710362</v>
      </c>
      <c r="W56" s="174" t="n">
        <f aca="false">SUM($E50:W50)</f>
        <v>12397.1227502611</v>
      </c>
      <c r="X56" s="174" t="n">
        <f aca="false">SUM($E50:X50)</f>
        <v>16699.7493520838</v>
      </c>
      <c r="Y56" s="174" t="n">
        <f aca="false">SUM($E50:Y50)</f>
        <v>21083.10741088</v>
      </c>
      <c r="Z56" s="174" t="n">
        <f aca="false">SUM($E50:Z50)</f>
        <v>22383.3229368481</v>
      </c>
      <c r="AA56" s="482"/>
    </row>
    <row r="57" customFormat="false" ht="12.75" hidden="false" customHeight="false" outlineLevel="0" collapsed="false">
      <c r="A57" s="37"/>
      <c r="B57" s="105" t="s">
        <v>457</v>
      </c>
      <c r="C57" s="39"/>
      <c r="D57" s="39"/>
      <c r="E57" s="174" t="n">
        <f aca="false">SUM($E54:E54)</f>
        <v>265.752308958537</v>
      </c>
      <c r="F57" s="174" t="n">
        <f aca="false">SUM($E54:F54)</f>
        <v>1222.35501570121</v>
      </c>
      <c r="G57" s="174" t="n">
        <f aca="false">SUM($E54:G54)</f>
        <v>1134.37085317086</v>
      </c>
      <c r="H57" s="174" t="n">
        <f aca="false">SUM($E54:H54)</f>
        <v>-1011.33864796317</v>
      </c>
      <c r="I57" s="174" t="n">
        <f aca="false">SUM($E54:I54)</f>
        <v>-4734.83911357695</v>
      </c>
      <c r="J57" s="174" t="n">
        <f aca="false">SUM($E54:J54)</f>
        <v>-8618.36442378723</v>
      </c>
      <c r="K57" s="174" t="n">
        <f aca="false">SUM($E54:K54)</f>
        <v>-10939.9498745558</v>
      </c>
      <c r="L57" s="174" t="n">
        <f aca="false">SUM($E54:L54)</f>
        <v>-12833.5959080958</v>
      </c>
      <c r="M57" s="174" t="n">
        <f aca="false">SUM($E54:M54)</f>
        <v>-14372.6227706991</v>
      </c>
      <c r="N57" s="174" t="n">
        <f aca="false">SUM($E54:N54)</f>
        <v>-15472.9869958059</v>
      </c>
      <c r="O57" s="174" t="n">
        <f aca="false">SUM($E54:O54)</f>
        <v>-16120.843389352</v>
      </c>
      <c r="P57" s="174" t="n">
        <f aca="false">SUM($E54:P54)</f>
        <v>-16219.4346108197</v>
      </c>
      <c r="Q57" s="174" t="n">
        <f aca="false">SUM($E54:Q54)</f>
        <v>-15821.4487752598</v>
      </c>
      <c r="R57" s="174" t="n">
        <f aca="false">SUM($E54:R54)</f>
        <v>-14901.444860088</v>
      </c>
      <c r="S57" s="174" t="n">
        <f aca="false">SUM($E54:S54)</f>
        <v>-13458.1876677742</v>
      </c>
      <c r="T57" s="174" t="n">
        <f aca="false">SUM($E54:T54)</f>
        <v>-11875.569879034</v>
      </c>
      <c r="U57" s="174" t="n">
        <f aca="false">SUM($E54:U54)</f>
        <v>-9349.49740000724</v>
      </c>
      <c r="V57" s="174" t="n">
        <f aca="false">SUM($E54:V54)</f>
        <v>-6180.52412542174</v>
      </c>
      <c r="W57" s="174" t="n">
        <f aca="false">SUM($E54:W54)</f>
        <v>-2390.51693825966</v>
      </c>
      <c r="X57" s="174" t="n">
        <f aca="false">SUM($E54:X54)</f>
        <v>1938.86991064475</v>
      </c>
      <c r="Y57" s="174" t="n">
        <f aca="false">SUM($E54:Y54)</f>
        <v>6681.50263769811</v>
      </c>
      <c r="Z57" s="174" t="n">
        <f aca="false">SUM($E54:Z54)</f>
        <v>12410.2624078033</v>
      </c>
      <c r="AA57" s="482"/>
    </row>
    <row r="58" customFormat="false" ht="12.75" hidden="false" customHeight="false" outlineLevel="0" collapsed="false">
      <c r="A58" s="37"/>
      <c r="B58" s="39"/>
      <c r="C58" s="39"/>
      <c r="D58" s="39"/>
      <c r="E58" s="505"/>
      <c r="F58" s="505"/>
      <c r="G58" s="505"/>
      <c r="H58" s="505"/>
      <c r="I58" s="505"/>
      <c r="J58" s="505"/>
      <c r="K58" s="505"/>
      <c r="L58" s="505"/>
      <c r="M58" s="505"/>
      <c r="N58" s="505"/>
      <c r="O58" s="505"/>
      <c r="P58" s="505"/>
      <c r="Q58" s="505"/>
      <c r="R58" s="505"/>
      <c r="S58" s="505"/>
      <c r="T58" s="505"/>
      <c r="U58" s="505"/>
      <c r="V58" s="505"/>
      <c r="W58" s="505"/>
      <c r="X58" s="505"/>
      <c r="Y58" s="505"/>
      <c r="Z58" s="505"/>
      <c r="AA58" s="480"/>
    </row>
    <row r="59" customFormat="false" ht="12.75" hidden="false" customHeight="false" outlineLevel="0" collapsed="false">
      <c r="A59" s="506"/>
      <c r="B59" s="507"/>
      <c r="C59" s="508" t="s">
        <v>458</v>
      </c>
      <c r="D59" s="509" t="s">
        <v>459</v>
      </c>
      <c r="E59" s="505"/>
      <c r="F59" s="505"/>
      <c r="G59" s="505"/>
      <c r="H59" s="505"/>
      <c r="I59" s="505"/>
      <c r="J59" s="505"/>
      <c r="K59" s="505"/>
      <c r="L59" s="505"/>
      <c r="M59" s="505"/>
      <c r="N59" s="505"/>
      <c r="O59" s="505"/>
      <c r="P59" s="505"/>
      <c r="Q59" s="505"/>
      <c r="R59" s="505"/>
      <c r="S59" s="505"/>
      <c r="T59" s="505"/>
      <c r="U59" s="505"/>
      <c r="V59" s="505"/>
      <c r="W59" s="505"/>
      <c r="X59" s="505"/>
      <c r="Y59" s="505"/>
      <c r="Z59" s="505"/>
      <c r="AA59" s="480"/>
    </row>
    <row r="60" customFormat="false" ht="12.75" hidden="false" customHeight="false" outlineLevel="0" collapsed="false">
      <c r="A60" s="510" t="s">
        <v>460</v>
      </c>
      <c r="B60" s="403"/>
      <c r="C60" s="511" t="n">
        <f aca="false">AVERAGE(G50:K50)</f>
        <v>-1838.70922399293</v>
      </c>
      <c r="D60" s="512" t="n">
        <f aca="false">AVERAGE(G54:K54)</f>
        <v>-2432.46097805141</v>
      </c>
      <c r="E60" s="505"/>
      <c r="F60" s="505"/>
      <c r="G60" s="505"/>
      <c r="H60" s="505"/>
      <c r="I60" s="505"/>
      <c r="J60" s="505"/>
      <c r="K60" s="505"/>
      <c r="L60" s="505"/>
      <c r="M60" s="505"/>
      <c r="N60" s="505"/>
      <c r="O60" s="505"/>
      <c r="P60" s="505"/>
      <c r="Q60" s="505"/>
      <c r="R60" s="505"/>
      <c r="S60" s="505"/>
      <c r="T60" s="505"/>
      <c r="U60" s="505"/>
      <c r="V60" s="505"/>
      <c r="W60" s="505"/>
      <c r="X60" s="505"/>
      <c r="Y60" s="505"/>
      <c r="Z60" s="505"/>
      <c r="AA60" s="480"/>
    </row>
    <row r="61" customFormat="false" ht="12.75" hidden="false" customHeight="false" outlineLevel="0" collapsed="false">
      <c r="A61" s="510" t="s">
        <v>461</v>
      </c>
      <c r="B61" s="403"/>
      <c r="C61" s="511" t="n">
        <f aca="false">AVERAGE(G50:Z50)</f>
        <v>1058.04839605734</v>
      </c>
      <c r="D61" s="512" t="n">
        <f aca="false">AVERAGE(G54:Z54)</f>
        <v>559.395369605105</v>
      </c>
      <c r="E61" s="505"/>
      <c r="F61" s="505"/>
      <c r="G61" s="505"/>
      <c r="H61" s="505"/>
      <c r="I61" s="505"/>
      <c r="J61" s="505"/>
      <c r="K61" s="505"/>
      <c r="L61" s="505"/>
      <c r="M61" s="505"/>
      <c r="N61" s="505"/>
      <c r="O61" s="505"/>
      <c r="P61" s="505"/>
      <c r="Q61" s="505"/>
      <c r="R61" s="505"/>
      <c r="S61" s="505"/>
      <c r="T61" s="505"/>
      <c r="U61" s="505"/>
      <c r="V61" s="505"/>
      <c r="W61" s="505"/>
      <c r="X61" s="505"/>
      <c r="Y61" s="505"/>
      <c r="Z61" s="505"/>
      <c r="AA61" s="480"/>
    </row>
    <row r="62" customFormat="false" ht="12.75" hidden="false" customHeight="false" outlineLevel="0" collapsed="false">
      <c r="A62" s="513" t="s">
        <v>462</v>
      </c>
      <c r="B62" s="514"/>
      <c r="C62" s="515"/>
      <c r="D62" s="516" t="n">
        <f aca="false">MAX(E62:Z62)</f>
        <v>0</v>
      </c>
      <c r="E62" s="517" t="n">
        <f aca="false">IF(AND(E57&gt;Equity*Assm!$K$68,D57&lt;Equity*Assm!$K$68),E$6,0)</f>
        <v>0</v>
      </c>
      <c r="F62" s="517" t="n">
        <f aca="false">IF(AND(F57&gt;Equity*Assm!$K$68,E57&lt;Equity*Assm!$K$68),F$6,0)</f>
        <v>0</v>
      </c>
      <c r="G62" s="517" t="n">
        <f aca="false">IF(AND(G57&gt;Equity*Assm!$K$68,F57&lt;Equity*Assm!$K$68),G$6,0)</f>
        <v>0</v>
      </c>
      <c r="H62" s="517" t="n">
        <f aca="false">IF(AND(H57&gt;Equity*Assm!$K$68,G57&lt;Equity*Assm!$K$68),H$6,0)</f>
        <v>0</v>
      </c>
      <c r="I62" s="517" t="n">
        <f aca="false">IF(AND(I57&gt;Equity*Assm!$K$68,H57&lt;Equity*Assm!$K$68),I$6,0)</f>
        <v>0</v>
      </c>
      <c r="J62" s="517" t="n">
        <f aca="false">IF(AND(J57&gt;Equity*Assm!$K$68,I57&lt;Equity*Assm!$K$68),J$6,0)</f>
        <v>0</v>
      </c>
      <c r="K62" s="517" t="n">
        <f aca="false">IF(AND(K57&gt;Equity*Assm!$K$68,J57&lt;Equity*Assm!$K$68),K$6,0)</f>
        <v>0</v>
      </c>
      <c r="L62" s="517" t="n">
        <f aca="false">IF(AND(L57&gt;Equity*Assm!$K$68,K57&lt;Equity*Assm!$K$68),L$6,0)</f>
        <v>0</v>
      </c>
      <c r="M62" s="517" t="n">
        <f aca="false">IF(AND(M57&gt;Equity*Assm!$K$68,L57&lt;Equity*Assm!$K$68),M$6,0)</f>
        <v>0</v>
      </c>
      <c r="N62" s="517" t="n">
        <f aca="false">IF(AND(N57&gt;Equity*Assm!$K$68,M57&lt;Equity*Assm!$K$68),N$6,0)</f>
        <v>0</v>
      </c>
      <c r="O62" s="517" t="n">
        <f aca="false">IF(AND(O57&gt;Equity*Assm!$K$68,N57&lt;Equity*Assm!$K$68),O$6,0)</f>
        <v>0</v>
      </c>
      <c r="P62" s="517" t="n">
        <f aca="false">IF(AND(P57&gt;Equity*Assm!$K$68,O57&lt;Equity*Assm!$K$68),P$6,0)</f>
        <v>0</v>
      </c>
      <c r="Q62" s="517" t="n">
        <f aca="false">IF(AND(Q57&gt;Equity*Assm!$K$68,P57&lt;Equity*Assm!$K$68),Q$6,0)</f>
        <v>0</v>
      </c>
      <c r="R62" s="517" t="n">
        <f aca="false">IF(AND(R57&gt;Equity*Assm!$K$68,Q57&lt;Equity*Assm!$K$68),R$6,0)</f>
        <v>0</v>
      </c>
      <c r="S62" s="517" t="n">
        <f aca="false">IF(AND(S57&gt;Equity*Assm!$K$68,R57&lt;Equity*Assm!$K$68),S$6,0)</f>
        <v>0</v>
      </c>
      <c r="T62" s="517" t="n">
        <f aca="false">IF(AND(T57&gt;Equity*Assm!$K$68,S57&lt;Equity*Assm!$K$68),T$6,0)</f>
        <v>0</v>
      </c>
      <c r="U62" s="517" t="n">
        <f aca="false">IF(AND(U57&gt;Equity*Assm!$K$68,T57&lt;Equity*Assm!$K$68),U$6,0)</f>
        <v>0</v>
      </c>
      <c r="V62" s="517" t="n">
        <f aca="false">IF(AND(V57&gt;Equity*Assm!$K$68,U57&lt;Equity*Assm!$K$68),V$6,0)</f>
        <v>0</v>
      </c>
      <c r="W62" s="517" t="n">
        <f aca="false">IF(AND(W57&gt;Equity*Assm!$K$68,V57&lt;Equity*Assm!$K$68),W$6,0)</f>
        <v>0</v>
      </c>
      <c r="X62" s="517" t="n">
        <f aca="false">IF(AND(X57&gt;Equity*Assm!$K$68,W57&lt;Equity*Assm!$K$68),X$6,0)</f>
        <v>0</v>
      </c>
      <c r="Y62" s="517" t="n">
        <f aca="false">IF(AND(Y57&gt;Equity*Assm!$K$68,X57&lt;Equity*Assm!$K$68),Y$6,0)</f>
        <v>0</v>
      </c>
      <c r="Z62" s="517" t="n">
        <f aca="false">IF(AND(Z57&gt;Equity*Assm!$K$68,Y57&lt;Equity*Assm!$K$68),Z$6,0)</f>
        <v>0</v>
      </c>
      <c r="AA62" s="518"/>
    </row>
    <row r="63" customFormat="false" ht="12.75" hidden="false" customHeight="false" outlineLevel="0" collapsed="false">
      <c r="A63" s="37"/>
      <c r="B63" s="39"/>
      <c r="C63" s="39"/>
      <c r="D63" s="39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80"/>
    </row>
    <row r="64" customFormat="false" ht="12.75" hidden="false" customHeight="false" outlineLevel="0" collapsed="false">
      <c r="A64" s="114" t="s">
        <v>463</v>
      </c>
      <c r="B64" s="39"/>
      <c r="C64" s="39"/>
      <c r="D64" s="39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418"/>
      <c r="AB64" s="315"/>
    </row>
    <row r="65" customFormat="false" ht="12.75" hidden="false" customHeight="false" outlineLevel="0" collapsed="false">
      <c r="A65" s="37" t="s">
        <v>464</v>
      </c>
      <c r="B65" s="39"/>
      <c r="C65" s="39"/>
      <c r="D65" s="39"/>
      <c r="E65" s="61" t="n">
        <f aca="false">-SUM(Returns!$E26:E26)</f>
        <v>3318.98504282476</v>
      </c>
      <c r="F65" s="61" t="n">
        <f aca="false">-SUM(Returns!$E26:F26)</f>
        <v>14565.2564136159</v>
      </c>
      <c r="G65" s="61" t="n">
        <f aca="false">-SUM(Returns!$E26:G26)</f>
        <v>14565.2564136159</v>
      </c>
      <c r="H65" s="61" t="n">
        <f aca="false">-SUM(Returns!$E26:H26)</f>
        <v>14565.2564136159</v>
      </c>
      <c r="I65" s="61" t="n">
        <f aca="false">-SUM(Returns!$E26:I26)</f>
        <v>14565.2564136159</v>
      </c>
      <c r="J65" s="61" t="n">
        <f aca="false">-SUM(Returns!$E26:J26)</f>
        <v>14565.2564136159</v>
      </c>
      <c r="K65" s="61" t="n">
        <f aca="false">-SUM(Returns!$E26:K26)</f>
        <v>14565.2564136159</v>
      </c>
      <c r="L65" s="61" t="n">
        <f aca="false">-SUM(Returns!$E26:L26)</f>
        <v>14565.2564136159</v>
      </c>
      <c r="M65" s="61" t="n">
        <f aca="false">-SUM(Returns!$E26:M26)</f>
        <v>14565.2564136159</v>
      </c>
      <c r="N65" s="61" t="n">
        <f aca="false">-SUM(Returns!$E26:N26)</f>
        <v>14565.2564136159</v>
      </c>
      <c r="O65" s="61" t="n">
        <f aca="false">-SUM(Returns!$E26:O26)</f>
        <v>14565.2564136159</v>
      </c>
      <c r="P65" s="61" t="n">
        <f aca="false">-SUM(Returns!$E26:P26)</f>
        <v>14565.2564136159</v>
      </c>
      <c r="Q65" s="61" t="n">
        <f aca="false">-SUM(Returns!$E26:Q26)</f>
        <v>14565.2564136159</v>
      </c>
      <c r="R65" s="61" t="n">
        <f aca="false">-SUM(Returns!$E26:R26)</f>
        <v>14565.2564136159</v>
      </c>
      <c r="S65" s="61" t="n">
        <f aca="false">-SUM(Returns!$E26:S26)</f>
        <v>14565.2564136159</v>
      </c>
      <c r="T65" s="61" t="n">
        <f aca="false">-SUM(Returns!$E26:T26)</f>
        <v>14565.2564136159</v>
      </c>
      <c r="U65" s="61" t="n">
        <f aca="false">-SUM(Returns!$E26:U26)</f>
        <v>14565.2564136159</v>
      </c>
      <c r="V65" s="61" t="n">
        <f aca="false">-SUM(Returns!$E26:V26)</f>
        <v>14565.2564136159</v>
      </c>
      <c r="W65" s="61" t="n">
        <f aca="false">-SUM(Returns!$E26:W26)</f>
        <v>14565.2564136159</v>
      </c>
      <c r="X65" s="61" t="n">
        <f aca="false">-SUM(Returns!$E26:X26)</f>
        <v>14565.2564136159</v>
      </c>
      <c r="Y65" s="61" t="n">
        <f aca="false">-SUM(Returns!$E26:Y26)</f>
        <v>14565.2564136159</v>
      </c>
      <c r="Z65" s="61" t="n">
        <f aca="false">-SUM(Returns!$E26:Z26)</f>
        <v>14565.2564136159</v>
      </c>
      <c r="AA65" s="304" t="n">
        <f aca="false">SUM(E65:Z65)</f>
        <v>309189.369728758</v>
      </c>
    </row>
    <row r="66" customFormat="false" ht="12.75" hidden="false" customHeight="false" outlineLevel="0" collapsed="false">
      <c r="A66" s="37" t="s">
        <v>465</v>
      </c>
      <c r="B66" s="39"/>
      <c r="C66" s="39"/>
      <c r="D66" s="39"/>
      <c r="E66" s="306" t="n">
        <f aca="false">-SUM(Returns!$E27:E41)</f>
        <v>-517.56488073721</v>
      </c>
      <c r="F66" s="306" t="n">
        <f aca="false">-SUM(Returns!$E27:F41)</f>
        <v>-2499.20109679973</v>
      </c>
      <c r="G66" s="306" t="n">
        <f aca="false">-SUM(Returns!$E27:G41)</f>
        <v>-2443.78630188724</v>
      </c>
      <c r="H66" s="306" t="n">
        <f aca="false">-SUM(Returns!$E27:H41)</f>
        <v>-1966.12711959074</v>
      </c>
      <c r="I66" s="306" t="n">
        <f aca="false">-SUM(Returns!$E27:I41)</f>
        <v>612.6390819623</v>
      </c>
      <c r="J66" s="306" t="n">
        <f aca="false">-SUM(Returns!$E27:J41)</f>
        <v>3717.19184961985</v>
      </c>
      <c r="K66" s="306" t="n">
        <f aca="false">-SUM(Returns!$E27:K41)</f>
        <v>6177.5170766185</v>
      </c>
      <c r="L66" s="306" t="n">
        <f aca="false">-SUM(Returns!$E27:L41)</f>
        <v>8716.0857318219</v>
      </c>
      <c r="M66" s="306" t="n">
        <f aca="false">-SUM(Returns!$E27:M41)</f>
        <v>11189.9654480178</v>
      </c>
      <c r="N66" s="306" t="n">
        <f aca="false">-SUM(Returns!$E27:N41)</f>
        <v>13381.6435972495</v>
      </c>
      <c r="O66" s="306" t="n">
        <f aca="false">-SUM(Returns!$E27:O41)</f>
        <v>14100.5391816408</v>
      </c>
      <c r="P66" s="306" t="n">
        <f aca="false">-SUM(Returns!$E27:P41)</f>
        <v>13358.8694423833</v>
      </c>
      <c r="Q66" s="306" t="n">
        <f aca="false">-SUM(Returns!$E27:Q41)</f>
        <v>12224.6546905458</v>
      </c>
      <c r="R66" s="306" t="n">
        <f aca="false">-SUM(Returns!$E27:R41)</f>
        <v>11167.8566263604</v>
      </c>
      <c r="S66" s="306" t="n">
        <f aca="false">-SUM(Returns!$E27:S41)</f>
        <v>10189.9652934893</v>
      </c>
      <c r="T66" s="306" t="n">
        <f aca="false">-SUM(Returns!$E27:T41)</f>
        <v>7439.00997464551</v>
      </c>
      <c r="U66" s="306" t="n">
        <f aca="false">-SUM(Returns!$E27:U41)</f>
        <v>3944.45073125764</v>
      </c>
      <c r="V66" s="306" t="n">
        <f aca="false">-SUM(Returns!$E27:V41)</f>
        <v>-998.968291695242</v>
      </c>
      <c r="W66" s="306" t="n">
        <f aca="false">-SUM(Returns!$E27:W41)</f>
        <v>-8707.34913875116</v>
      </c>
      <c r="X66" s="306" t="n">
        <f aca="false">-SUM(Returns!$E27:X41)</f>
        <v>-16704.372333349</v>
      </c>
      <c r="Y66" s="306" t="n">
        <f aca="false">-SUM(Returns!$E27:Y41)</f>
        <v>-24824.3826184654</v>
      </c>
      <c r="Z66" s="306" t="n">
        <f aca="false">-SUM(Returns!$E27:Z41)</f>
        <v>-123205.62501144</v>
      </c>
      <c r="AA66" s="307" t="n">
        <f aca="false">SUM(E66:Z66)</f>
        <v>-65646.9880671026</v>
      </c>
    </row>
    <row r="67" customFormat="false" ht="12.75" hidden="false" customHeight="false" outlineLevel="0" collapsed="false">
      <c r="A67" s="37" t="s">
        <v>466</v>
      </c>
      <c r="B67" s="39"/>
      <c r="C67" s="39"/>
      <c r="D67" s="39"/>
      <c r="E67" s="61" t="n">
        <f aca="false">SUM(E65:E66)</f>
        <v>2801.42016208755</v>
      </c>
      <c r="F67" s="61" t="n">
        <f aca="false">SUM(F65:F66)</f>
        <v>12066.0553168161</v>
      </c>
      <c r="G67" s="61" t="n">
        <f aca="false">SUM(G65:G66)</f>
        <v>12121.4701117286</v>
      </c>
      <c r="H67" s="61" t="n">
        <f aca="false">SUM(H65:H66)</f>
        <v>12599.1292940251</v>
      </c>
      <c r="I67" s="61" t="n">
        <f aca="false">SUM(I65:I66)</f>
        <v>15177.8954955782</v>
      </c>
      <c r="J67" s="61" t="n">
        <f aca="false">SUM(J65:J66)</f>
        <v>18282.4482632357</v>
      </c>
      <c r="K67" s="61" t="n">
        <f aca="false">SUM(K65:K66)</f>
        <v>20742.7734902344</v>
      </c>
      <c r="L67" s="61" t="n">
        <f aca="false">SUM(L65:L66)</f>
        <v>23281.3421454378</v>
      </c>
      <c r="M67" s="61" t="n">
        <f aca="false">SUM(M65:M66)</f>
        <v>25755.2218616337</v>
      </c>
      <c r="N67" s="61" t="n">
        <f aca="false">SUM(N65:N66)</f>
        <v>27946.9000108654</v>
      </c>
      <c r="O67" s="61" t="n">
        <f aca="false">SUM(O65:O66)</f>
        <v>28665.7955952566</v>
      </c>
      <c r="P67" s="61" t="n">
        <f aca="false">SUM(P65:P66)</f>
        <v>27924.1258559992</v>
      </c>
      <c r="Q67" s="61" t="n">
        <f aca="false">SUM(Q65:Q66)</f>
        <v>26789.9111041617</v>
      </c>
      <c r="R67" s="61" t="n">
        <f aca="false">SUM(R65:R66)</f>
        <v>25733.1130399762</v>
      </c>
      <c r="S67" s="61" t="n">
        <f aca="false">SUM(S65:S66)</f>
        <v>24755.2217071052</v>
      </c>
      <c r="T67" s="61" t="n">
        <f aca="false">SUM(T65:T66)</f>
        <v>22004.2663882614</v>
      </c>
      <c r="U67" s="61" t="n">
        <f aca="false">SUM(U65:U66)</f>
        <v>18509.7071448735</v>
      </c>
      <c r="V67" s="61" t="n">
        <f aca="false">SUM(V65:V66)</f>
        <v>13566.2881219206</v>
      </c>
      <c r="W67" s="61" t="n">
        <f aca="false">SUM(W65:W66)</f>
        <v>5857.9072748647</v>
      </c>
      <c r="X67" s="61" t="n">
        <f aca="false">SUM(X65:X66)</f>
        <v>-2139.11591973314</v>
      </c>
      <c r="Y67" s="61" t="n">
        <f aca="false">SUM(Y65:Y66)</f>
        <v>-10259.1262048495</v>
      </c>
      <c r="Z67" s="61" t="n">
        <f aca="false">SUM(Z65:Z66)</f>
        <v>-108640.368597824</v>
      </c>
      <c r="AA67" s="304" t="n">
        <f aca="false">SUM(E67:Z67)</f>
        <v>243542.381661655</v>
      </c>
    </row>
    <row r="68" customFormat="false" ht="12.75" hidden="false" customHeight="false" outlineLevel="0" collapsed="false">
      <c r="A68" s="37" t="s">
        <v>467</v>
      </c>
      <c r="B68" s="39"/>
      <c r="C68" s="39"/>
      <c r="D68" s="39"/>
      <c r="E68" s="519" t="n">
        <f aca="false">Ecf</f>
        <v>0.065</v>
      </c>
      <c r="F68" s="519" t="n">
        <f aca="false">Ecf</f>
        <v>0.065</v>
      </c>
      <c r="G68" s="519" t="n">
        <f aca="false">Ecf</f>
        <v>0.065</v>
      </c>
      <c r="H68" s="519" t="n">
        <f aca="false">Ecf</f>
        <v>0.065</v>
      </c>
      <c r="I68" s="519" t="n">
        <f aca="false">Ecf</f>
        <v>0.065</v>
      </c>
      <c r="J68" s="519" t="n">
        <f aca="false">Ecf</f>
        <v>0.065</v>
      </c>
      <c r="K68" s="519" t="n">
        <f aca="false">Ecf</f>
        <v>0.065</v>
      </c>
      <c r="L68" s="519" t="n">
        <f aca="false">Ecf</f>
        <v>0.065</v>
      </c>
      <c r="M68" s="519" t="n">
        <f aca="false">Ecf</f>
        <v>0.065</v>
      </c>
      <c r="N68" s="519" t="n">
        <f aca="false">Ecf</f>
        <v>0.065</v>
      </c>
      <c r="O68" s="519" t="n">
        <f aca="false">Ecf</f>
        <v>0.065</v>
      </c>
      <c r="P68" s="519" t="n">
        <f aca="false">Ecf</f>
        <v>0.065</v>
      </c>
      <c r="Q68" s="519" t="n">
        <f aca="false">Ecf</f>
        <v>0.065</v>
      </c>
      <c r="R68" s="519" t="n">
        <f aca="false">Ecf</f>
        <v>0.065</v>
      </c>
      <c r="S68" s="519" t="n">
        <f aca="false">Ecf</f>
        <v>0.065</v>
      </c>
      <c r="T68" s="519" t="n">
        <f aca="false">Ecf</f>
        <v>0.065</v>
      </c>
      <c r="U68" s="519" t="n">
        <f aca="false">Ecf</f>
        <v>0.065</v>
      </c>
      <c r="V68" s="519" t="n">
        <f aca="false">Ecf</f>
        <v>0.065</v>
      </c>
      <c r="W68" s="519" t="n">
        <f aca="false">Ecf</f>
        <v>0.065</v>
      </c>
      <c r="X68" s="519" t="n">
        <f aca="false">Ecf</f>
        <v>0.065</v>
      </c>
      <c r="Y68" s="519" t="n">
        <f aca="false">Ecf</f>
        <v>0.065</v>
      </c>
      <c r="Z68" s="519" t="n">
        <f aca="false">Ecf</f>
        <v>0.065</v>
      </c>
      <c r="AA68" s="520"/>
    </row>
    <row r="69" customFormat="false" ht="12.75" hidden="false" customHeight="false" outlineLevel="0" collapsed="false">
      <c r="A69" s="37"/>
      <c r="B69" s="39" t="s">
        <v>468</v>
      </c>
      <c r="C69" s="39"/>
      <c r="D69" s="39"/>
      <c r="E69" s="61" t="n">
        <f aca="false">E67*E68</f>
        <v>182.092310535691</v>
      </c>
      <c r="F69" s="61" t="n">
        <f aca="false">F67*F68</f>
        <v>784.293595593048</v>
      </c>
      <c r="G69" s="61" t="n">
        <f aca="false">G67*G68</f>
        <v>787.89555726236</v>
      </c>
      <c r="H69" s="61" t="n">
        <f aca="false">H67*H68</f>
        <v>818.943404111633</v>
      </c>
      <c r="I69" s="61" t="n">
        <f aca="false">I67*I68</f>
        <v>986.56320721258</v>
      </c>
      <c r="J69" s="61" t="n">
        <f aca="false">J67*J68</f>
        <v>1188.35913711032</v>
      </c>
      <c r="K69" s="61" t="n">
        <f aca="false">K67*K68</f>
        <v>1348.28027686523</v>
      </c>
      <c r="L69" s="61" t="n">
        <f aca="false">L67*L68</f>
        <v>1513.28723945345</v>
      </c>
      <c r="M69" s="61" t="n">
        <f aca="false">M67*M68</f>
        <v>1674.08942100619</v>
      </c>
      <c r="N69" s="61" t="n">
        <f aca="false">N67*N68</f>
        <v>1816.54850070625</v>
      </c>
      <c r="O69" s="61" t="n">
        <f aca="false">O67*O68</f>
        <v>1863.27671369168</v>
      </c>
      <c r="P69" s="61" t="n">
        <f aca="false">P67*P68</f>
        <v>1815.06818063995</v>
      </c>
      <c r="Q69" s="61" t="n">
        <f aca="false">Q67*Q68</f>
        <v>1741.34422177051</v>
      </c>
      <c r="R69" s="61" t="n">
        <f aca="false">R67*R68</f>
        <v>1672.65234759846</v>
      </c>
      <c r="S69" s="61" t="n">
        <f aca="false">S67*S68</f>
        <v>1609.08941096184</v>
      </c>
      <c r="T69" s="61" t="n">
        <f aca="false">T67*T68</f>
        <v>1430.27731523699</v>
      </c>
      <c r="U69" s="61" t="n">
        <f aca="false">U67*U68</f>
        <v>1203.13096441678</v>
      </c>
      <c r="V69" s="61" t="n">
        <f aca="false">V67*V68</f>
        <v>881.80872792484</v>
      </c>
      <c r="W69" s="61" t="n">
        <f aca="false">W67*W68</f>
        <v>380.763972866205</v>
      </c>
      <c r="X69" s="61" t="n">
        <f aca="false">X67*X68</f>
        <v>-139.042534782654</v>
      </c>
      <c r="Y69" s="61" t="n">
        <f aca="false">Y67*Y68</f>
        <v>-666.84320331522</v>
      </c>
      <c r="Z69" s="61" t="n">
        <f aca="false">Z67*Z68</f>
        <v>-7061.62395885854</v>
      </c>
      <c r="AA69" s="304" t="n">
        <f aca="false">SUM(E69:Z69)</f>
        <v>15830.2548080076</v>
      </c>
    </row>
    <row r="70" customFormat="false" ht="12.75" hidden="false" customHeight="false" outlineLevel="0" collapsed="false">
      <c r="A70" s="37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298"/>
    </row>
    <row r="71" customFormat="false" ht="13.5" hidden="false" customHeight="false" outlineLevel="0" collapsed="false">
      <c r="A71" s="49"/>
      <c r="B71" s="256" t="s">
        <v>469</v>
      </c>
      <c r="C71" s="22"/>
      <c r="D71" s="22"/>
      <c r="E71" s="521" t="n">
        <f aca="false">SUM($E69:E69)</f>
        <v>182.092310535691</v>
      </c>
      <c r="F71" s="521" t="n">
        <f aca="false">SUM($E69:F69)</f>
        <v>966.385906128738</v>
      </c>
      <c r="G71" s="521" t="n">
        <f aca="false">SUM($E69:G69)</f>
        <v>1754.2814633911</v>
      </c>
      <c r="H71" s="521" t="n">
        <f aca="false">SUM($E69:H69)</f>
        <v>2573.22486750273</v>
      </c>
      <c r="I71" s="521" t="n">
        <f aca="false">SUM($E69:I69)</f>
        <v>3559.78807471531</v>
      </c>
      <c r="J71" s="521" t="n">
        <f aca="false">SUM($E69:J69)</f>
        <v>4748.14721182563</v>
      </c>
      <c r="K71" s="521" t="n">
        <f aca="false">SUM($E69:K69)</f>
        <v>6096.42748869087</v>
      </c>
      <c r="L71" s="521" t="n">
        <f aca="false">SUM($E69:L69)</f>
        <v>7609.71472814432</v>
      </c>
      <c r="M71" s="521" t="n">
        <f aca="false">SUM($E69:M69)</f>
        <v>9283.80414915051</v>
      </c>
      <c r="N71" s="521" t="n">
        <f aca="false">SUM($E69:N69)</f>
        <v>11100.3526498568</v>
      </c>
      <c r="O71" s="521" t="n">
        <f aca="false">SUM($E69:O69)</f>
        <v>12963.6293635484</v>
      </c>
      <c r="P71" s="521" t="n">
        <f aca="false">SUM($E69:P69)</f>
        <v>14778.6975441884</v>
      </c>
      <c r="Q71" s="521" t="n">
        <f aca="false">SUM($E69:Q69)</f>
        <v>16520.0417659589</v>
      </c>
      <c r="R71" s="521" t="n">
        <f aca="false">SUM($E69:R69)</f>
        <v>18192.6941135573</v>
      </c>
      <c r="S71" s="521" t="n">
        <f aca="false">SUM($E69:S69)</f>
        <v>19801.7835245192</v>
      </c>
      <c r="T71" s="521" t="n">
        <f aca="false">SUM($E69:T69)</f>
        <v>21232.0608397562</v>
      </c>
      <c r="U71" s="521" t="n">
        <f aca="false">SUM($E69:U69)</f>
        <v>22435.191804173</v>
      </c>
      <c r="V71" s="521" t="n">
        <f aca="false">SUM($E69:V69)</f>
        <v>23317.0005320978</v>
      </c>
      <c r="W71" s="521" t="n">
        <f aca="false">SUM($E69:W69)</f>
        <v>23697.764504964</v>
      </c>
      <c r="X71" s="521" t="n">
        <f aca="false">SUM($E69:X69)</f>
        <v>23558.7219701813</v>
      </c>
      <c r="Y71" s="521" t="n">
        <f aca="false">SUM($E69:Y69)</f>
        <v>22891.8787668661</v>
      </c>
      <c r="Z71" s="521" t="n">
        <f aca="false">SUM($E69:Z69)</f>
        <v>15830.2548080076</v>
      </c>
      <c r="AA71" s="34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6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.7"/>
    <col collapsed="false" customWidth="true" hidden="false" outlineLevel="0" max="2" min="2" style="1" width="40.7"/>
    <col collapsed="false" customWidth="false" hidden="false" outlineLevel="0" max="4" min="3" style="1" width="9.14"/>
    <col collapsed="false" customWidth="true" hidden="false" outlineLevel="0" max="5" min="5" style="468" width="9.56"/>
    <col collapsed="false" customWidth="false" hidden="false" outlineLevel="0" max="9" min="6" style="468" width="9.14"/>
    <col collapsed="false" customWidth="true" hidden="false" outlineLevel="0" max="10" min="10" style="468" width="9.85"/>
    <col collapsed="false" customWidth="false" hidden="false" outlineLevel="0" max="26" min="11" style="468" width="9.14"/>
    <col collapsed="false" customWidth="true" hidden="false" outlineLevel="0" max="27" min="27" style="47" width="11.85"/>
    <col collapsed="false" customWidth="false" hidden="false" outlineLevel="0" max="257" min="28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469"/>
      <c r="Z1" s="469"/>
      <c r="AA1" s="116"/>
      <c r="AB1" s="108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469"/>
      <c r="Z2" s="469"/>
      <c r="AA2" s="116"/>
      <c r="AB2" s="108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72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69"/>
      <c r="W3" s="469"/>
      <c r="X3" s="469"/>
      <c r="Y3" s="469"/>
      <c r="Z3" s="469"/>
      <c r="AA3" s="116"/>
      <c r="AB3" s="108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470</v>
      </c>
      <c r="B4" s="21"/>
      <c r="C4" s="522"/>
      <c r="D4" s="108"/>
      <c r="E4" s="472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116"/>
      <c r="AB4" s="108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16"/>
      <c r="F5" s="116"/>
      <c r="G5" s="116"/>
      <c r="H5" s="116"/>
      <c r="I5" s="116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116"/>
      <c r="AB5" s="108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422</v>
      </c>
      <c r="B6" s="26"/>
      <c r="C6" s="26"/>
      <c r="D6" s="26"/>
      <c r="E6" s="474" t="n">
        <f aca="false">EINC!E6</f>
        <v>0</v>
      </c>
      <c r="F6" s="474" t="n">
        <f aca="false">EINC!F6</f>
        <v>0</v>
      </c>
      <c r="G6" s="474" t="n">
        <f aca="false">EINC!G6</f>
        <v>0</v>
      </c>
      <c r="H6" s="474" t="n">
        <f aca="false">EINC!H6</f>
        <v>1</v>
      </c>
      <c r="I6" s="474" t="n">
        <f aca="false">EINC!I6</f>
        <v>2</v>
      </c>
      <c r="J6" s="474" t="n">
        <f aca="false">EINC!J6</f>
        <v>3</v>
      </c>
      <c r="K6" s="474" t="n">
        <f aca="false">EINC!K6</f>
        <v>4</v>
      </c>
      <c r="L6" s="474" t="n">
        <f aca="false">EINC!L6</f>
        <v>5</v>
      </c>
      <c r="M6" s="474" t="n">
        <f aca="false">EINC!M6</f>
        <v>6</v>
      </c>
      <c r="N6" s="474" t="n">
        <f aca="false">EINC!N6</f>
        <v>7</v>
      </c>
      <c r="O6" s="474" t="n">
        <f aca="false">EINC!O6</f>
        <v>8</v>
      </c>
      <c r="P6" s="474" t="n">
        <f aca="false">EINC!P6</f>
        <v>9</v>
      </c>
      <c r="Q6" s="474" t="n">
        <f aca="false">EINC!Q6</f>
        <v>10</v>
      </c>
      <c r="R6" s="474" t="n">
        <f aca="false">EINC!R6</f>
        <v>11</v>
      </c>
      <c r="S6" s="474" t="n">
        <f aca="false">EINC!S6</f>
        <v>12</v>
      </c>
      <c r="T6" s="474" t="n">
        <f aca="false">EINC!T6</f>
        <v>13</v>
      </c>
      <c r="U6" s="474" t="n">
        <f aca="false">EINC!U6</f>
        <v>14</v>
      </c>
      <c r="V6" s="474" t="n">
        <f aca="false">EINC!V6</f>
        <v>15</v>
      </c>
      <c r="W6" s="474" t="n">
        <f aca="false">EINC!W6</f>
        <v>16</v>
      </c>
      <c r="X6" s="474" t="n">
        <f aca="false">EINC!X6</f>
        <v>17</v>
      </c>
      <c r="Y6" s="474" t="n">
        <f aca="false">EINC!Y6</f>
        <v>18</v>
      </c>
      <c r="Z6" s="474" t="n">
        <f aca="false">EINC!Z6</f>
        <v>19</v>
      </c>
      <c r="AA6" s="523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5" t="s">
        <v>322</v>
      </c>
      <c r="B7" s="22"/>
      <c r="C7" s="22"/>
      <c r="D7" s="22"/>
      <c r="E7" s="476" t="n">
        <f aca="false">EINC!E7</f>
        <v>1998</v>
      </c>
      <c r="F7" s="476" t="n">
        <f aca="false">EINC!F7</f>
        <v>1999</v>
      </c>
      <c r="G7" s="476" t="n">
        <f aca="false">EINC!G7</f>
        <v>2000</v>
      </c>
      <c r="H7" s="476" t="n">
        <f aca="false">EINC!H7</f>
        <v>2001</v>
      </c>
      <c r="I7" s="476" t="n">
        <f aca="false">EINC!I7</f>
        <v>2002</v>
      </c>
      <c r="J7" s="476" t="n">
        <f aca="false">EINC!J7</f>
        <v>2003</v>
      </c>
      <c r="K7" s="476" t="n">
        <f aca="false">EINC!K7</f>
        <v>2004</v>
      </c>
      <c r="L7" s="476" t="n">
        <f aca="false">EINC!L7</f>
        <v>2005</v>
      </c>
      <c r="M7" s="476" t="n">
        <f aca="false">EINC!M7</f>
        <v>2006</v>
      </c>
      <c r="N7" s="476" t="n">
        <f aca="false">EINC!N7</f>
        <v>2007</v>
      </c>
      <c r="O7" s="476" t="n">
        <f aca="false">EINC!O7</f>
        <v>2008</v>
      </c>
      <c r="P7" s="476" t="n">
        <f aca="false">EINC!P7</f>
        <v>2009</v>
      </c>
      <c r="Q7" s="476" t="n">
        <f aca="false">EINC!Q7</f>
        <v>2010</v>
      </c>
      <c r="R7" s="476" t="n">
        <f aca="false">EINC!R7</f>
        <v>2011</v>
      </c>
      <c r="S7" s="476" t="n">
        <f aca="false">EINC!S7</f>
        <v>2012</v>
      </c>
      <c r="T7" s="476" t="n">
        <f aca="false">EINC!T7</f>
        <v>2013</v>
      </c>
      <c r="U7" s="476" t="n">
        <f aca="false">EINC!U7</f>
        <v>2014</v>
      </c>
      <c r="V7" s="476" t="n">
        <f aca="false">EINC!V7</f>
        <v>2015</v>
      </c>
      <c r="W7" s="476" t="n">
        <f aca="false">EINC!W7</f>
        <v>2016</v>
      </c>
      <c r="X7" s="476" t="n">
        <f aca="false">EINC!X7</f>
        <v>2017</v>
      </c>
      <c r="Y7" s="476" t="n">
        <f aca="false">EINC!Y7</f>
        <v>2018</v>
      </c>
      <c r="Z7" s="476" t="n">
        <f aca="false">EINC!Z7</f>
        <v>2019</v>
      </c>
      <c r="AA7" s="524" t="str">
        <f aca="false">Returns!AA7</f>
        <v>Totals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477"/>
      <c r="B8" s="39"/>
      <c r="C8" s="39"/>
      <c r="D8" s="39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  <c r="AA8" s="525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423</v>
      </c>
      <c r="B9" s="39"/>
      <c r="C9" s="39"/>
      <c r="D9" s="39"/>
      <c r="E9" s="47" t="n">
        <f aca="false">EINC!E9</f>
        <v>0</v>
      </c>
      <c r="F9" s="47" t="n">
        <f aca="false">EINC!F9</f>
        <v>0</v>
      </c>
      <c r="G9" s="47" t="n">
        <f aca="false">EINC!G9</f>
        <v>0</v>
      </c>
      <c r="H9" s="47" t="n">
        <f aca="false">EINC!H9</f>
        <v>10</v>
      </c>
      <c r="I9" s="47" t="n">
        <f aca="false">EINC!I9</f>
        <v>12</v>
      </c>
      <c r="J9" s="47" t="n">
        <f aca="false">EINC!J9</f>
        <v>12</v>
      </c>
      <c r="K9" s="47" t="n">
        <f aca="false">EINC!K9</f>
        <v>12</v>
      </c>
      <c r="L9" s="47" t="n">
        <f aca="false">EINC!L9</f>
        <v>12</v>
      </c>
      <c r="M9" s="47" t="n">
        <f aca="false">EINC!M9</f>
        <v>12</v>
      </c>
      <c r="N9" s="47" t="n">
        <f aca="false">EINC!N9</f>
        <v>12</v>
      </c>
      <c r="O9" s="47" t="n">
        <f aca="false">EINC!O9</f>
        <v>12</v>
      </c>
      <c r="P9" s="47" t="n">
        <f aca="false">EINC!P9</f>
        <v>12</v>
      </c>
      <c r="Q9" s="47" t="n">
        <f aca="false">EINC!Q9</f>
        <v>12</v>
      </c>
      <c r="R9" s="47" t="n">
        <f aca="false">EINC!R9</f>
        <v>12</v>
      </c>
      <c r="S9" s="47" t="n">
        <f aca="false">EINC!S9</f>
        <v>12</v>
      </c>
      <c r="T9" s="47" t="n">
        <f aca="false">EINC!T9</f>
        <v>12</v>
      </c>
      <c r="U9" s="47" t="n">
        <f aca="false">EINC!U9</f>
        <v>12</v>
      </c>
      <c r="V9" s="47" t="n">
        <f aca="false">EINC!V9</f>
        <v>12</v>
      </c>
      <c r="W9" s="47" t="n">
        <f aca="false">EINC!W9</f>
        <v>12</v>
      </c>
      <c r="X9" s="47" t="n">
        <f aca="false">EINC!X9</f>
        <v>12</v>
      </c>
      <c r="Y9" s="47" t="n">
        <f aca="false">EINC!Y9</f>
        <v>12</v>
      </c>
      <c r="Z9" s="47" t="n">
        <f aca="false">EINC!Z9</f>
        <v>4</v>
      </c>
      <c r="AA9" s="526" t="n">
        <f aca="false">SUM(E9:Z9)</f>
        <v>218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527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528" t="s">
        <v>471</v>
      </c>
      <c r="B11" s="39"/>
      <c r="C11" s="39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6"/>
      <c r="S11" s="426"/>
      <c r="T11" s="426"/>
      <c r="U11" s="426"/>
      <c r="V11" s="426"/>
      <c r="W11" s="426"/>
      <c r="X11" s="426"/>
      <c r="Y11" s="426"/>
      <c r="Z11" s="426"/>
      <c r="AA11" s="52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138"/>
      <c r="B12" s="39" t="s">
        <v>472</v>
      </c>
      <c r="C12" s="39"/>
      <c r="D12" s="426"/>
      <c r="E12" s="61" t="n">
        <f aca="false">D16</f>
        <v>0</v>
      </c>
      <c r="F12" s="61" t="n">
        <f aca="false">E16</f>
        <v>6637.97008564951</v>
      </c>
      <c r="G12" s="61" t="n">
        <f aca="false">F16</f>
        <v>29130.5128272317</v>
      </c>
      <c r="H12" s="61" t="n">
        <f aca="false">G16</f>
        <v>29130.5128272317</v>
      </c>
      <c r="I12" s="61" t="n">
        <f aca="false">H16</f>
        <v>24280.5566457891</v>
      </c>
      <c r="J12" s="61" t="n">
        <f aca="false">I16</f>
        <v>14968.272915683</v>
      </c>
      <c r="K12" s="61" t="n">
        <f aca="false">J16</f>
        <v>5482.37408107306</v>
      </c>
      <c r="L12" s="61" t="n">
        <f aca="false">K16</f>
        <v>874.978881836236</v>
      </c>
      <c r="M12" s="61" t="n">
        <f aca="false">L16</f>
        <v>-2474.56486483041</v>
      </c>
      <c r="N12" s="61" t="n">
        <f aca="false">M16</f>
        <v>-4828.75337434871</v>
      </c>
      <c r="O12" s="61" t="n">
        <f aca="false">N16</f>
        <v>-6022.24988102776</v>
      </c>
      <c r="P12" s="61" t="n">
        <f aca="false">O16</f>
        <v>-5784.60807770804</v>
      </c>
      <c r="Q12" s="61" t="n">
        <f aca="false">P16</f>
        <v>-4640.94572400236</v>
      </c>
      <c r="R12" s="61" t="n">
        <f aca="false">Q16</f>
        <v>-2601.9576596385</v>
      </c>
      <c r="S12" s="61" t="n">
        <f aca="false">R16</f>
        <v>334.729706022816</v>
      </c>
      <c r="T12" s="61" t="n">
        <f aca="false">S16</f>
        <v>4426.46682586344</v>
      </c>
      <c r="U12" s="61" t="n">
        <f aca="false">T16</f>
        <v>8281.69368941893</v>
      </c>
      <c r="V12" s="61" t="n">
        <f aca="false">U16</f>
        <v>13706.4012016712</v>
      </c>
      <c r="W12" s="61" t="n">
        <f aca="false">V16</f>
        <v>19958.2371472347</v>
      </c>
      <c r="X12" s="61" t="n">
        <f aca="false">W16</f>
        <v>26664.5144290828</v>
      </c>
      <c r="Y12" s="61" t="n">
        <f aca="false">X16</f>
        <v>29130.5128272317</v>
      </c>
      <c r="Z12" s="61" t="n">
        <f aca="false">Y16</f>
        <v>29130.5128272317</v>
      </c>
      <c r="AA12" s="530" t="n">
        <f aca="false">E12</f>
        <v>0</v>
      </c>
      <c r="AB12" s="39"/>
    </row>
    <row r="13" customFormat="false" ht="12.75" hidden="false" customHeight="false" outlineLevel="0" collapsed="false">
      <c r="A13" s="138"/>
      <c r="B13" s="39" t="s">
        <v>473</v>
      </c>
      <c r="C13" s="39"/>
      <c r="D13" s="426"/>
      <c r="E13" s="61" t="n">
        <f aca="false">BS_IS!G64</f>
        <v>6637.97008564951</v>
      </c>
      <c r="F13" s="61" t="n">
        <f aca="false">BS_IS!H64</f>
        <v>22492.5427415822</v>
      </c>
      <c r="G13" s="61" t="n">
        <f aca="false">BS_IS!I64</f>
        <v>0</v>
      </c>
      <c r="H13" s="61" t="n">
        <f aca="false">BS_IS!J64</f>
        <v>0</v>
      </c>
      <c r="I13" s="61" t="n">
        <f aca="false">BS_IS!K64</f>
        <v>0</v>
      </c>
      <c r="J13" s="61" t="n">
        <f aca="false">BS_IS!L64</f>
        <v>0</v>
      </c>
      <c r="K13" s="61" t="n">
        <f aca="false">BS_IS!M64</f>
        <v>0</v>
      </c>
      <c r="L13" s="61" t="n">
        <f aca="false">BS_IS!N64</f>
        <v>0</v>
      </c>
      <c r="M13" s="61" t="n">
        <f aca="false">BS_IS!O64</f>
        <v>0</v>
      </c>
      <c r="N13" s="61" t="n">
        <f aca="false">BS_IS!P64</f>
        <v>0</v>
      </c>
      <c r="O13" s="61" t="n">
        <f aca="false">BS_IS!Q64</f>
        <v>0</v>
      </c>
      <c r="P13" s="61" t="n">
        <f aca="false">BS_IS!R64</f>
        <v>0</v>
      </c>
      <c r="Q13" s="61" t="n">
        <f aca="false">BS_IS!S64</f>
        <v>0</v>
      </c>
      <c r="R13" s="61" t="n">
        <f aca="false">BS_IS!T64</f>
        <v>0</v>
      </c>
      <c r="S13" s="61" t="n">
        <f aca="false">BS_IS!U64</f>
        <v>0</v>
      </c>
      <c r="T13" s="61" t="n">
        <f aca="false">BS_IS!V64</f>
        <v>0</v>
      </c>
      <c r="U13" s="61" t="n">
        <f aca="false">BS_IS!W64</f>
        <v>0</v>
      </c>
      <c r="V13" s="61" t="n">
        <f aca="false">BS_IS!X64</f>
        <v>0</v>
      </c>
      <c r="W13" s="61" t="n">
        <f aca="false">BS_IS!Y64</f>
        <v>0</v>
      </c>
      <c r="X13" s="61" t="n">
        <f aca="false">BS_IS!Z64</f>
        <v>0</v>
      </c>
      <c r="Y13" s="61" t="n">
        <f aca="false">BS_IS!AA64</f>
        <v>0</v>
      </c>
      <c r="Z13" s="61" t="n">
        <f aca="false">BS_IS!AB64</f>
        <v>0</v>
      </c>
      <c r="AA13" s="530" t="n">
        <f aca="false">SUM(E13:Z13)</f>
        <v>29130.5128272317</v>
      </c>
      <c r="AB13" s="39"/>
    </row>
    <row r="14" customFormat="false" ht="12.75" hidden="false" customHeight="false" outlineLevel="0" collapsed="false">
      <c r="A14" s="138"/>
      <c r="B14" s="39" t="s">
        <v>474</v>
      </c>
      <c r="C14" s="39"/>
      <c r="D14" s="426"/>
      <c r="E14" s="61" t="n">
        <f aca="false">BS_IS!G53</f>
        <v>0</v>
      </c>
      <c r="F14" s="61" t="n">
        <f aca="false">BS_IS!H53</f>
        <v>0</v>
      </c>
      <c r="G14" s="61" t="n">
        <f aca="false">BS_IS!I53</f>
        <v>0</v>
      </c>
      <c r="H14" s="61" t="n">
        <f aca="false">BS_IS!J53</f>
        <v>-4849.95618144266</v>
      </c>
      <c r="I14" s="61" t="n">
        <f aca="false">BS_IS!K53</f>
        <v>-9312.2837301061</v>
      </c>
      <c r="J14" s="61" t="n">
        <f aca="false">BS_IS!L53</f>
        <v>-9485.89883460989</v>
      </c>
      <c r="K14" s="61" t="n">
        <f aca="false">BS_IS!M53</f>
        <v>-4607.39519923682</v>
      </c>
      <c r="L14" s="61" t="n">
        <f aca="false">BS_IS!N53</f>
        <v>-3349.54374666664</v>
      </c>
      <c r="M14" s="61" t="n">
        <f aca="false">BS_IS!O53</f>
        <v>-2354.1885095183</v>
      </c>
      <c r="N14" s="61" t="n">
        <f aca="false">BS_IS!P53</f>
        <v>-1193.49650667905</v>
      </c>
      <c r="O14" s="61" t="n">
        <f aca="false">BS_IS!Q53</f>
        <v>237.641803319724</v>
      </c>
      <c r="P14" s="61" t="n">
        <f aca="false">BS_IS!R53</f>
        <v>1143.66235370568</v>
      </c>
      <c r="Q14" s="61" t="n">
        <f aca="false">BS_IS!S53</f>
        <v>2038.98806436386</v>
      </c>
      <c r="R14" s="61" t="n">
        <f aca="false">BS_IS!T53</f>
        <v>2936.68736566132</v>
      </c>
      <c r="S14" s="61" t="n">
        <f aca="false">BS_IS!U53</f>
        <v>4091.73711984062</v>
      </c>
      <c r="T14" s="61" t="n">
        <f aca="false">BS_IS!V53</f>
        <v>3855.22686355549</v>
      </c>
      <c r="U14" s="61" t="n">
        <f aca="false">BS_IS!W53</f>
        <v>5424.70751225231</v>
      </c>
      <c r="V14" s="61" t="n">
        <f aca="false">BS_IS!X53</f>
        <v>6251.83594556343</v>
      </c>
      <c r="W14" s="61" t="n">
        <f aca="false">BS_IS!Y53</f>
        <v>6706.27728184809</v>
      </c>
      <c r="X14" s="61" t="n">
        <f aca="false">BS_IS!Z53</f>
        <v>6616.35809972682</v>
      </c>
      <c r="Y14" s="61" t="n">
        <f aca="false">BS_IS!AA53</f>
        <v>7581.36886552416</v>
      </c>
      <c r="Z14" s="61" t="n">
        <f aca="false">BS_IS!AB53</f>
        <v>2235.32024618146</v>
      </c>
      <c r="AA14" s="530" t="n">
        <f aca="false">SUM(E14:Z14)</f>
        <v>13967.0488132835</v>
      </c>
      <c r="AB14" s="39"/>
    </row>
    <row r="15" customFormat="false" ht="12.75" hidden="false" customHeight="false" outlineLevel="0" collapsed="false">
      <c r="A15" s="138"/>
      <c r="B15" s="39" t="s">
        <v>475</v>
      </c>
      <c r="C15" s="39"/>
      <c r="D15" s="426"/>
      <c r="E15" s="306" t="n">
        <f aca="false">BS_IS!G82</f>
        <v>0</v>
      </c>
      <c r="F15" s="306" t="n">
        <f aca="false">BS_IS!H82</f>
        <v>0</v>
      </c>
      <c r="G15" s="306" t="n">
        <f aca="false">BS_IS!I82</f>
        <v>0</v>
      </c>
      <c r="H15" s="306" t="n">
        <f aca="false">BS_IS!J82</f>
        <v>-0</v>
      </c>
      <c r="I15" s="306" t="n">
        <f aca="false">BS_IS!K82</f>
        <v>-0</v>
      </c>
      <c r="J15" s="306" t="n">
        <f aca="false">BS_IS!L82</f>
        <v>-0</v>
      </c>
      <c r="K15" s="306" t="n">
        <f aca="false">BS_IS!M82</f>
        <v>-0</v>
      </c>
      <c r="L15" s="306" t="n">
        <f aca="false">BS_IS!N82</f>
        <v>-0</v>
      </c>
      <c r="M15" s="306" t="n">
        <f aca="false">BS_IS!O82</f>
        <v>-0</v>
      </c>
      <c r="N15" s="306" t="n">
        <f aca="false">BS_IS!P82</f>
        <v>-0</v>
      </c>
      <c r="O15" s="306" t="n">
        <f aca="false">BS_IS!Q82</f>
        <v>-0</v>
      </c>
      <c r="P15" s="306" t="n">
        <f aca="false">BS_IS!R82</f>
        <v>-0</v>
      </c>
      <c r="Q15" s="306" t="n">
        <f aca="false">BS_IS!S82</f>
        <v>-0</v>
      </c>
      <c r="R15" s="306" t="n">
        <f aca="false">BS_IS!T82</f>
        <v>-0</v>
      </c>
      <c r="S15" s="306" t="n">
        <f aca="false">BS_IS!U82</f>
        <v>-0</v>
      </c>
      <c r="T15" s="306" t="n">
        <f aca="false">BS_IS!V82</f>
        <v>-0</v>
      </c>
      <c r="U15" s="306" t="n">
        <f aca="false">BS_IS!W82</f>
        <v>-0</v>
      </c>
      <c r="V15" s="306" t="n">
        <f aca="false">BS_IS!X82</f>
        <v>-0</v>
      </c>
      <c r="W15" s="306" t="n">
        <f aca="false">BS_IS!Y82</f>
        <v>-0</v>
      </c>
      <c r="X15" s="306" t="n">
        <f aca="false">BS_IS!Z82</f>
        <v>-4150.35970157787</v>
      </c>
      <c r="Y15" s="306" t="n">
        <f aca="false">BS_IS!AA82</f>
        <v>-7581.36886552416</v>
      </c>
      <c r="Z15" s="306" t="n">
        <f aca="false">BS_IS!AB82</f>
        <v>-20507.0035433508</v>
      </c>
      <c r="AA15" s="531" t="n">
        <f aca="false">SUM(E15:Z15)</f>
        <v>-32238.7321104528</v>
      </c>
      <c r="AB15" s="39"/>
    </row>
    <row r="16" customFormat="false" ht="12.75" hidden="false" customHeight="false" outlineLevel="0" collapsed="false">
      <c r="A16" s="420"/>
      <c r="B16" s="466" t="s">
        <v>476</v>
      </c>
      <c r="C16" s="466"/>
      <c r="D16" s="423"/>
      <c r="E16" s="532" t="n">
        <f aca="false">SUM(E12:E15)</f>
        <v>6637.97008564951</v>
      </c>
      <c r="F16" s="532" t="n">
        <f aca="false">SUM(F12:F15)</f>
        <v>29130.5128272317</v>
      </c>
      <c r="G16" s="532" t="n">
        <f aca="false">SUM(G12:G15)</f>
        <v>29130.5128272317</v>
      </c>
      <c r="H16" s="532" t="n">
        <f aca="false">SUM(H12:H15)</f>
        <v>24280.5566457891</v>
      </c>
      <c r="I16" s="532" t="n">
        <f aca="false">SUM(I12:I15)</f>
        <v>14968.272915683</v>
      </c>
      <c r="J16" s="532" t="n">
        <f aca="false">SUM(J12:J15)</f>
        <v>5482.37408107306</v>
      </c>
      <c r="K16" s="532" t="n">
        <f aca="false">SUM(K12:K15)</f>
        <v>874.978881836236</v>
      </c>
      <c r="L16" s="532" t="n">
        <f aca="false">SUM(L12:L15)</f>
        <v>-2474.56486483041</v>
      </c>
      <c r="M16" s="532" t="n">
        <f aca="false">SUM(M12:M15)</f>
        <v>-4828.75337434871</v>
      </c>
      <c r="N16" s="532" t="n">
        <f aca="false">SUM(N12:N15)</f>
        <v>-6022.24988102776</v>
      </c>
      <c r="O16" s="532" t="n">
        <f aca="false">SUM(O12:O15)</f>
        <v>-5784.60807770804</v>
      </c>
      <c r="P16" s="532" t="n">
        <f aca="false">SUM(P12:P15)</f>
        <v>-4640.94572400236</v>
      </c>
      <c r="Q16" s="532" t="n">
        <f aca="false">SUM(Q12:Q15)</f>
        <v>-2601.9576596385</v>
      </c>
      <c r="R16" s="532" t="n">
        <f aca="false">SUM(R12:R15)</f>
        <v>334.729706022816</v>
      </c>
      <c r="S16" s="532" t="n">
        <f aca="false">SUM(S12:S15)</f>
        <v>4426.46682586344</v>
      </c>
      <c r="T16" s="532" t="n">
        <f aca="false">SUM(T12:T15)</f>
        <v>8281.69368941893</v>
      </c>
      <c r="U16" s="532" t="n">
        <f aca="false">SUM(U12:U15)</f>
        <v>13706.4012016712</v>
      </c>
      <c r="V16" s="532" t="n">
        <f aca="false">SUM(V12:V15)</f>
        <v>19958.2371472347</v>
      </c>
      <c r="W16" s="532" t="n">
        <f aca="false">SUM(W12:W15)</f>
        <v>26664.5144290828</v>
      </c>
      <c r="X16" s="532" t="n">
        <f aca="false">SUM(X12:X15)</f>
        <v>29130.5128272317</v>
      </c>
      <c r="Y16" s="532" t="n">
        <f aca="false">SUM(Y12:Y15)</f>
        <v>29130.5128272317</v>
      </c>
      <c r="Z16" s="532" t="n">
        <f aca="false">SUM(Z12:Z15)</f>
        <v>10858.8295300624</v>
      </c>
      <c r="AA16" s="533" t="n">
        <f aca="false">SUM(AA12:AA15)</f>
        <v>10858.8295300624</v>
      </c>
      <c r="AB16" s="39"/>
    </row>
    <row r="17" customFormat="false" ht="12.75" hidden="false" customHeight="false" outlineLevel="0" collapsed="false">
      <c r="A17" s="37"/>
      <c r="B17" s="39"/>
      <c r="C17" s="39"/>
      <c r="D17" s="39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527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363" t="s">
        <v>477</v>
      </c>
      <c r="B18" s="39"/>
      <c r="C18" s="39"/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52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138"/>
      <c r="B19" s="39" t="s">
        <v>478</v>
      </c>
      <c r="C19" s="39"/>
      <c r="D19" s="426"/>
      <c r="E19" s="61" t="n">
        <f aca="false">E12</f>
        <v>0</v>
      </c>
      <c r="F19" s="61" t="n">
        <f aca="false">F12</f>
        <v>6637.97008564951</v>
      </c>
      <c r="G19" s="61" t="n">
        <f aca="false">G12</f>
        <v>29130.5128272317</v>
      </c>
      <c r="H19" s="61" t="n">
        <f aca="false">H12</f>
        <v>29130.5128272317</v>
      </c>
      <c r="I19" s="61" t="n">
        <f aca="false">I12</f>
        <v>24280.5566457891</v>
      </c>
      <c r="J19" s="61" t="n">
        <f aca="false">J12</f>
        <v>14968.272915683</v>
      </c>
      <c r="K19" s="61" t="n">
        <f aca="false">K12</f>
        <v>5482.37408107306</v>
      </c>
      <c r="L19" s="61" t="n">
        <f aca="false">L12</f>
        <v>874.978881836236</v>
      </c>
      <c r="M19" s="61" t="n">
        <f aca="false">M12</f>
        <v>-2474.56486483041</v>
      </c>
      <c r="N19" s="61" t="n">
        <f aca="false">N12</f>
        <v>-4828.75337434871</v>
      </c>
      <c r="O19" s="61" t="n">
        <f aca="false">O12</f>
        <v>-6022.24988102776</v>
      </c>
      <c r="P19" s="61" t="n">
        <f aca="false">P12</f>
        <v>-5784.60807770804</v>
      </c>
      <c r="Q19" s="61" t="n">
        <f aca="false">Q12</f>
        <v>-4640.94572400236</v>
      </c>
      <c r="R19" s="61" t="n">
        <f aca="false">R12</f>
        <v>-2601.9576596385</v>
      </c>
      <c r="S19" s="61" t="n">
        <f aca="false">S12</f>
        <v>334.729706022816</v>
      </c>
      <c r="T19" s="61" t="n">
        <f aca="false">T12</f>
        <v>4426.46682586344</v>
      </c>
      <c r="U19" s="61" t="n">
        <f aca="false">U12</f>
        <v>8281.69368941893</v>
      </c>
      <c r="V19" s="61" t="n">
        <f aca="false">V12</f>
        <v>13706.4012016712</v>
      </c>
      <c r="W19" s="61" t="n">
        <f aca="false">W12</f>
        <v>19958.2371472347</v>
      </c>
      <c r="X19" s="61" t="n">
        <f aca="false">X12</f>
        <v>26664.5144290828</v>
      </c>
      <c r="Y19" s="61" t="n">
        <f aca="false">Y12</f>
        <v>29130.5128272317</v>
      </c>
      <c r="Z19" s="61" t="n">
        <f aca="false">Z12</f>
        <v>29130.5128272317</v>
      </c>
      <c r="AA19" s="529"/>
      <c r="AB19" s="39"/>
    </row>
    <row r="20" customFormat="false" ht="12.75" hidden="false" customHeight="false" outlineLevel="0" collapsed="false">
      <c r="A20" s="138"/>
      <c r="B20" s="39" t="s">
        <v>479</v>
      </c>
      <c r="C20" s="39"/>
      <c r="D20" s="426"/>
      <c r="E20" s="534" t="n">
        <f aca="false">Assm!$K$68</f>
        <v>0.5</v>
      </c>
      <c r="F20" s="534" t="n">
        <f aca="false">Assm!$K$68</f>
        <v>0.5</v>
      </c>
      <c r="G20" s="534" t="n">
        <f aca="false">Assm!$K$68</f>
        <v>0.5</v>
      </c>
      <c r="H20" s="534" t="n">
        <f aca="false">Assm!$K$68</f>
        <v>0.5</v>
      </c>
      <c r="I20" s="534" t="n">
        <f aca="false">Assm!$K$68</f>
        <v>0.5</v>
      </c>
      <c r="J20" s="534" t="n">
        <f aca="false">Assm!$K$68</f>
        <v>0.5</v>
      </c>
      <c r="K20" s="534" t="n">
        <f aca="false">Assm!$K$68</f>
        <v>0.5</v>
      </c>
      <c r="L20" s="534" t="n">
        <f aca="false">Assm!$K$68</f>
        <v>0.5</v>
      </c>
      <c r="M20" s="534" t="n">
        <f aca="false">Assm!$K$68</f>
        <v>0.5</v>
      </c>
      <c r="N20" s="534" t="n">
        <f aca="false">Assm!$K$68</f>
        <v>0.5</v>
      </c>
      <c r="O20" s="534" t="n">
        <f aca="false">Assm!$K$68</f>
        <v>0.5</v>
      </c>
      <c r="P20" s="534" t="n">
        <f aca="false">Assm!$K$68</f>
        <v>0.5</v>
      </c>
      <c r="Q20" s="534" t="n">
        <f aca="false">Assm!$K$68</f>
        <v>0.5</v>
      </c>
      <c r="R20" s="534" t="n">
        <f aca="false">Assm!$K$68</f>
        <v>0.5</v>
      </c>
      <c r="S20" s="534" t="n">
        <f aca="false">Assm!$K$68</f>
        <v>0.5</v>
      </c>
      <c r="T20" s="534" t="n">
        <f aca="false">Assm!$K$68</f>
        <v>0.5</v>
      </c>
      <c r="U20" s="534" t="n">
        <f aca="false">Assm!$K$68</f>
        <v>0.5</v>
      </c>
      <c r="V20" s="534" t="n">
        <f aca="false">Assm!$K$68</f>
        <v>0.5</v>
      </c>
      <c r="W20" s="534" t="n">
        <f aca="false">Assm!$K$68</f>
        <v>0.5</v>
      </c>
      <c r="X20" s="534" t="n">
        <f aca="false">Assm!$K$68</f>
        <v>0.5</v>
      </c>
      <c r="Y20" s="534" t="n">
        <f aca="false">Assm!$K$68</f>
        <v>0.5</v>
      </c>
      <c r="Z20" s="534" t="n">
        <f aca="false">Assm!$K$68</f>
        <v>0.5</v>
      </c>
      <c r="AA20" s="529"/>
      <c r="AB20" s="39"/>
    </row>
    <row r="21" customFormat="false" ht="12.75" hidden="false" customHeight="false" outlineLevel="0" collapsed="false">
      <c r="A21" s="138"/>
      <c r="B21" s="39" t="s">
        <v>480</v>
      </c>
      <c r="C21" s="39"/>
      <c r="D21" s="105" t="s">
        <v>481</v>
      </c>
      <c r="E21" s="61" t="n">
        <f aca="false">E19*E20</f>
        <v>0</v>
      </c>
      <c r="F21" s="61" t="n">
        <f aca="false">F19*F20</f>
        <v>3318.98504282476</v>
      </c>
      <c r="G21" s="61" t="n">
        <f aca="false">G19*G20</f>
        <v>14565.2564136159</v>
      </c>
      <c r="H21" s="61" t="n">
        <f aca="false">H19*H20</f>
        <v>14565.2564136159</v>
      </c>
      <c r="I21" s="61" t="n">
        <f aca="false">I19*I20</f>
        <v>12140.2783228945</v>
      </c>
      <c r="J21" s="61" t="n">
        <f aca="false">J19*J20</f>
        <v>7484.13645784148</v>
      </c>
      <c r="K21" s="61" t="n">
        <f aca="false">K19*K20</f>
        <v>2741.18704053653</v>
      </c>
      <c r="L21" s="61" t="n">
        <f aca="false">L19*L20</f>
        <v>437.489440918118</v>
      </c>
      <c r="M21" s="61" t="n">
        <f aca="false">M19*M20</f>
        <v>-1237.2824324152</v>
      </c>
      <c r="N21" s="61" t="n">
        <f aca="false">N19*N20</f>
        <v>-2414.37668717435</v>
      </c>
      <c r="O21" s="61" t="n">
        <f aca="false">O19*O20</f>
        <v>-3011.12494051388</v>
      </c>
      <c r="P21" s="61" t="n">
        <f aca="false">P19*P20</f>
        <v>-2892.30403885402</v>
      </c>
      <c r="Q21" s="61" t="n">
        <f aca="false">Q19*Q20</f>
        <v>-2320.47286200118</v>
      </c>
      <c r="R21" s="61" t="n">
        <f aca="false">R19*R20</f>
        <v>-1300.97882981925</v>
      </c>
      <c r="S21" s="61" t="n">
        <f aca="false">S19*S20</f>
        <v>167.364853011408</v>
      </c>
      <c r="T21" s="61" t="n">
        <f aca="false">T19*T20</f>
        <v>2213.23341293172</v>
      </c>
      <c r="U21" s="61" t="n">
        <f aca="false">U19*U20</f>
        <v>4140.84684470947</v>
      </c>
      <c r="V21" s="61" t="n">
        <f aca="false">V19*V20</f>
        <v>6853.20060083562</v>
      </c>
      <c r="W21" s="61" t="n">
        <f aca="false">W19*W20</f>
        <v>9979.11857361734</v>
      </c>
      <c r="X21" s="61" t="n">
        <f aca="false">X19*X20</f>
        <v>13332.2572145414</v>
      </c>
      <c r="Y21" s="61" t="n">
        <f aca="false">Y19*Y20</f>
        <v>14565.2564136159</v>
      </c>
      <c r="Z21" s="61" t="n">
        <f aca="false">Z19*Z20</f>
        <v>14565.2564136159</v>
      </c>
      <c r="AA21" s="529"/>
      <c r="AB21" s="39"/>
    </row>
    <row r="22" customFormat="false" ht="12.75" hidden="false" customHeight="false" outlineLevel="0" collapsed="false">
      <c r="A22" s="138"/>
      <c r="B22" s="39"/>
      <c r="C22" s="39"/>
      <c r="D22" s="426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529"/>
      <c r="AB22" s="39"/>
    </row>
    <row r="23" customFormat="false" ht="12.75" hidden="false" customHeight="false" outlineLevel="0" collapsed="false">
      <c r="A23" s="138"/>
      <c r="B23" s="39" t="s">
        <v>482</v>
      </c>
      <c r="C23" s="39"/>
      <c r="D23" s="426"/>
      <c r="E23" s="61" t="n">
        <f aca="false">E16</f>
        <v>6637.97008564951</v>
      </c>
      <c r="F23" s="61" t="n">
        <f aca="false">F16</f>
        <v>29130.5128272317</v>
      </c>
      <c r="G23" s="61" t="n">
        <f aca="false">G16</f>
        <v>29130.5128272317</v>
      </c>
      <c r="H23" s="61" t="n">
        <f aca="false">H16</f>
        <v>24280.5566457891</v>
      </c>
      <c r="I23" s="61" t="n">
        <f aca="false">I16</f>
        <v>14968.272915683</v>
      </c>
      <c r="J23" s="61" t="n">
        <f aca="false">J16</f>
        <v>5482.37408107306</v>
      </c>
      <c r="K23" s="61" t="n">
        <f aca="false">K16</f>
        <v>874.978881836236</v>
      </c>
      <c r="L23" s="61" t="n">
        <f aca="false">L16</f>
        <v>-2474.56486483041</v>
      </c>
      <c r="M23" s="61" t="n">
        <f aca="false">M16</f>
        <v>-4828.75337434871</v>
      </c>
      <c r="N23" s="61" t="n">
        <f aca="false">N16</f>
        <v>-6022.24988102776</v>
      </c>
      <c r="O23" s="61" t="n">
        <f aca="false">O16</f>
        <v>-5784.60807770804</v>
      </c>
      <c r="P23" s="61" t="n">
        <f aca="false">P16</f>
        <v>-4640.94572400236</v>
      </c>
      <c r="Q23" s="61" t="n">
        <f aca="false">Q16</f>
        <v>-2601.9576596385</v>
      </c>
      <c r="R23" s="61" t="n">
        <f aca="false">R16</f>
        <v>334.729706022816</v>
      </c>
      <c r="S23" s="61" t="n">
        <f aca="false">S16</f>
        <v>4426.46682586344</v>
      </c>
      <c r="T23" s="61" t="n">
        <f aca="false">T16</f>
        <v>8281.69368941893</v>
      </c>
      <c r="U23" s="61" t="n">
        <f aca="false">U16</f>
        <v>13706.4012016712</v>
      </c>
      <c r="V23" s="61" t="n">
        <f aca="false">V16</f>
        <v>19958.2371472347</v>
      </c>
      <c r="W23" s="61" t="n">
        <f aca="false">W16</f>
        <v>26664.5144290828</v>
      </c>
      <c r="X23" s="61" t="n">
        <f aca="false">X16</f>
        <v>29130.5128272317</v>
      </c>
      <c r="Y23" s="61" t="n">
        <f aca="false">Y16</f>
        <v>29130.5128272317</v>
      </c>
      <c r="Z23" s="61" t="n">
        <f aca="false">Z16</f>
        <v>10858.8295300624</v>
      </c>
      <c r="AA23" s="529"/>
      <c r="AB23" s="39"/>
    </row>
    <row r="24" customFormat="false" ht="12.75" hidden="false" customHeight="false" outlineLevel="0" collapsed="false">
      <c r="A24" s="138"/>
      <c r="B24" s="39" t="s">
        <v>479</v>
      </c>
      <c r="C24" s="39"/>
      <c r="D24" s="426"/>
      <c r="E24" s="534" t="n">
        <f aca="false">Assm!$K$68</f>
        <v>0.5</v>
      </c>
      <c r="F24" s="534" t="n">
        <f aca="false">Assm!$K$68</f>
        <v>0.5</v>
      </c>
      <c r="G24" s="534" t="n">
        <f aca="false">Assm!$K$68</f>
        <v>0.5</v>
      </c>
      <c r="H24" s="534" t="n">
        <f aca="false">Assm!$K$68</f>
        <v>0.5</v>
      </c>
      <c r="I24" s="534" t="n">
        <f aca="false">Assm!$K$68</f>
        <v>0.5</v>
      </c>
      <c r="J24" s="534" t="n">
        <f aca="false">Assm!$K$68</f>
        <v>0.5</v>
      </c>
      <c r="K24" s="534" t="n">
        <f aca="false">Assm!$K$68</f>
        <v>0.5</v>
      </c>
      <c r="L24" s="534" t="n">
        <f aca="false">Assm!$K$68</f>
        <v>0.5</v>
      </c>
      <c r="M24" s="534" t="n">
        <f aca="false">Assm!$K$68</f>
        <v>0.5</v>
      </c>
      <c r="N24" s="534" t="n">
        <f aca="false">Assm!$K$68</f>
        <v>0.5</v>
      </c>
      <c r="O24" s="534" t="n">
        <f aca="false">Assm!$K$68</f>
        <v>0.5</v>
      </c>
      <c r="P24" s="534" t="n">
        <f aca="false">Assm!$K$68</f>
        <v>0.5</v>
      </c>
      <c r="Q24" s="534" t="n">
        <f aca="false">Assm!$K$68</f>
        <v>0.5</v>
      </c>
      <c r="R24" s="534" t="n">
        <f aca="false">Assm!$K$68</f>
        <v>0.5</v>
      </c>
      <c r="S24" s="534" t="n">
        <f aca="false">Assm!$K$68</f>
        <v>0.5</v>
      </c>
      <c r="T24" s="534" t="n">
        <f aca="false">Assm!$K$68</f>
        <v>0.5</v>
      </c>
      <c r="U24" s="534" t="n">
        <f aca="false">Assm!$K$68</f>
        <v>0.5</v>
      </c>
      <c r="V24" s="534" t="n">
        <f aca="false">Assm!$K$68</f>
        <v>0.5</v>
      </c>
      <c r="W24" s="534" t="n">
        <f aca="false">Assm!$K$68</f>
        <v>0.5</v>
      </c>
      <c r="X24" s="534" t="n">
        <f aca="false">Assm!$K$68</f>
        <v>0.5</v>
      </c>
      <c r="Y24" s="534" t="n">
        <f aca="false">Assm!$K$68</f>
        <v>0.5</v>
      </c>
      <c r="Z24" s="534" t="n">
        <f aca="false">Assm!$K$68</f>
        <v>0.5</v>
      </c>
      <c r="AA24" s="529"/>
      <c r="AB24" s="39"/>
    </row>
    <row r="25" customFormat="false" ht="12.75" hidden="false" customHeight="false" outlineLevel="0" collapsed="false">
      <c r="A25" s="138"/>
      <c r="B25" s="39" t="s">
        <v>483</v>
      </c>
      <c r="C25" s="39"/>
      <c r="D25" s="105" t="s">
        <v>484</v>
      </c>
      <c r="E25" s="61" t="n">
        <f aca="false">E23*E24</f>
        <v>3318.98504282476</v>
      </c>
      <c r="F25" s="61" t="n">
        <f aca="false">F23*F24</f>
        <v>14565.2564136159</v>
      </c>
      <c r="G25" s="61" t="n">
        <f aca="false">G23*G24</f>
        <v>14565.2564136159</v>
      </c>
      <c r="H25" s="61" t="n">
        <f aca="false">H23*H24</f>
        <v>12140.2783228945</v>
      </c>
      <c r="I25" s="61" t="n">
        <f aca="false">I23*I24</f>
        <v>7484.13645784148</v>
      </c>
      <c r="J25" s="61" t="n">
        <f aca="false">J23*J24</f>
        <v>2741.18704053653</v>
      </c>
      <c r="K25" s="61" t="n">
        <f aca="false">K23*K24</f>
        <v>437.489440918118</v>
      </c>
      <c r="L25" s="61" t="n">
        <f aca="false">L23*L24</f>
        <v>-1237.2824324152</v>
      </c>
      <c r="M25" s="61" t="n">
        <f aca="false">M23*M24</f>
        <v>-2414.37668717435</v>
      </c>
      <c r="N25" s="61" t="n">
        <f aca="false">N23*N24</f>
        <v>-3011.12494051388</v>
      </c>
      <c r="O25" s="61" t="n">
        <f aca="false">O23*O24</f>
        <v>-2892.30403885402</v>
      </c>
      <c r="P25" s="61" t="n">
        <f aca="false">P23*P24</f>
        <v>-2320.47286200118</v>
      </c>
      <c r="Q25" s="61" t="n">
        <f aca="false">Q23*Q24</f>
        <v>-1300.97882981925</v>
      </c>
      <c r="R25" s="61" t="n">
        <f aca="false">R23*R24</f>
        <v>167.364853011408</v>
      </c>
      <c r="S25" s="61" t="n">
        <f aca="false">S23*S24</f>
        <v>2213.23341293172</v>
      </c>
      <c r="T25" s="61" t="n">
        <f aca="false">T23*T24</f>
        <v>4140.84684470947</v>
      </c>
      <c r="U25" s="61" t="n">
        <f aca="false">U23*U24</f>
        <v>6853.20060083562</v>
      </c>
      <c r="V25" s="61" t="n">
        <f aca="false">V23*V24</f>
        <v>9979.11857361734</v>
      </c>
      <c r="W25" s="61" t="n">
        <f aca="false">W23*W24</f>
        <v>13332.2572145414</v>
      </c>
      <c r="X25" s="61" t="n">
        <f aca="false">X23*X24</f>
        <v>14565.2564136159</v>
      </c>
      <c r="Y25" s="61" t="n">
        <f aca="false">Y23*Y24</f>
        <v>14565.2564136159</v>
      </c>
      <c r="Z25" s="61" t="n">
        <f aca="false">Z23*Z24</f>
        <v>5429.41476503121</v>
      </c>
      <c r="AA25" s="529"/>
      <c r="AB25" s="39"/>
    </row>
    <row r="26" customFormat="false" ht="12.75" hidden="false" customHeight="false" outlineLevel="0" collapsed="false">
      <c r="A26" s="138"/>
      <c r="B26" s="39"/>
      <c r="C26" s="39"/>
      <c r="D26" s="426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529"/>
      <c r="AB26" s="39"/>
    </row>
    <row r="27" customFormat="false" ht="12.75" hidden="false" customHeight="false" outlineLevel="0" collapsed="false">
      <c r="A27" s="138"/>
      <c r="B27" s="39" t="s">
        <v>485</v>
      </c>
      <c r="C27" s="39"/>
      <c r="D27" s="105" t="s">
        <v>486</v>
      </c>
      <c r="E27" s="61" t="n">
        <f aca="false">IF(MAX(E$21,E$25)&lt;0,0,MAX(E$21,E$25))</f>
        <v>3318.98504282476</v>
      </c>
      <c r="F27" s="61" t="n">
        <f aca="false">IF(MAX(F$21,F$25)&lt;0,0,MAX(F$21,F$25))</f>
        <v>14565.2564136159</v>
      </c>
      <c r="G27" s="61" t="n">
        <f aca="false">IF(MAX(G$21,G$25)&lt;0,0,MAX(G$21,G$25))</f>
        <v>14565.2564136159</v>
      </c>
      <c r="H27" s="61" t="n">
        <f aca="false">IF(MAX(H$21,H$25)&lt;0,0,MAX(H$21,H$25))</f>
        <v>14565.2564136159</v>
      </c>
      <c r="I27" s="61" t="n">
        <f aca="false">IF(MAX(I$21,I$25)&lt;0,0,MAX(I$21,I$25))</f>
        <v>12140.2783228945</v>
      </c>
      <c r="J27" s="61" t="n">
        <f aca="false">IF(MAX(J$21,J$25)&lt;0,0,MAX(J$21,J$25))</f>
        <v>7484.13645784148</v>
      </c>
      <c r="K27" s="61" t="n">
        <f aca="false">IF(MAX(K$21,K$25)&lt;0,0,MAX(K$21,K$25))</f>
        <v>2741.18704053653</v>
      </c>
      <c r="L27" s="61" t="n">
        <f aca="false">IF(MAX(L$21,L$25)&lt;0,0,MAX(L$21,L$25))</f>
        <v>437.489440918118</v>
      </c>
      <c r="M27" s="61" t="n">
        <f aca="false">IF(MAX(M$21,M$25)&lt;0,0,MAX(M$21,M$25))</f>
        <v>0</v>
      </c>
      <c r="N27" s="61" t="n">
        <f aca="false">IF(MAX(N$21,N$25)&lt;0,0,MAX(N$21,N$25))</f>
        <v>0</v>
      </c>
      <c r="O27" s="61" t="n">
        <f aca="false">IF(MAX(O$21,O$25)&lt;0,0,MAX(O$21,O$25))</f>
        <v>0</v>
      </c>
      <c r="P27" s="61" t="n">
        <f aca="false">IF(MAX(P$21,P$25)&lt;0,0,MAX(P$21,P$25))</f>
        <v>0</v>
      </c>
      <c r="Q27" s="61" t="n">
        <f aca="false">IF(MAX(Q$21,Q$25)&lt;0,0,MAX(Q$21,Q$25))</f>
        <v>0</v>
      </c>
      <c r="R27" s="61" t="n">
        <f aca="false">IF(MAX(R$21,R$25)&lt;0,0,MAX(R$21,R$25))</f>
        <v>167.364853011408</v>
      </c>
      <c r="S27" s="61" t="n">
        <f aca="false">IF(MAX(S$21,S$25)&lt;0,0,MAX(S$21,S$25))</f>
        <v>2213.23341293172</v>
      </c>
      <c r="T27" s="61" t="n">
        <f aca="false">IF(MAX(T$21,T$25)&lt;0,0,MAX(T$21,T$25))</f>
        <v>4140.84684470947</v>
      </c>
      <c r="U27" s="61" t="n">
        <f aca="false">IF(MAX(U$21,U$25)&lt;0,0,MAX(U$21,U$25))</f>
        <v>6853.20060083562</v>
      </c>
      <c r="V27" s="61" t="n">
        <f aca="false">IF(MAX(V$21,V$25)&lt;0,0,MAX(V$21,V$25))</f>
        <v>9979.11857361734</v>
      </c>
      <c r="W27" s="61" t="n">
        <f aca="false">IF(MAX(W$21,W$25)&lt;0,0,MAX(W$21,W$25))</f>
        <v>13332.2572145414</v>
      </c>
      <c r="X27" s="61" t="n">
        <f aca="false">IF(MAX(X$21,X$25)&lt;0,0,MAX(X$21,X$25))</f>
        <v>14565.2564136159</v>
      </c>
      <c r="Y27" s="61" t="n">
        <f aca="false">IF(MAX(Y$21,Y$25)&lt;0,0,MAX(Y$21,Y$25))</f>
        <v>14565.2564136159</v>
      </c>
      <c r="Z27" s="61" t="n">
        <f aca="false">IF(MAX(Z$21,Z$25)&lt;0,0,MAX(Z$21,Z$25))</f>
        <v>14565.2564136159</v>
      </c>
      <c r="AA27" s="529"/>
      <c r="AB27" s="39"/>
    </row>
    <row r="28" customFormat="false" ht="12.75" hidden="false" customHeight="false" outlineLevel="0" collapsed="false">
      <c r="A28" s="138"/>
      <c r="B28" s="39" t="s">
        <v>487</v>
      </c>
      <c r="C28" s="39"/>
      <c r="D28" s="105" t="s">
        <v>488</v>
      </c>
      <c r="E28" s="61" t="n">
        <f aca="false">IF(MIN(E$21,E$25)&lt;0,0,MIN(E$21,E$25))</f>
        <v>0</v>
      </c>
      <c r="F28" s="61" t="n">
        <f aca="false">IF(MIN(F$21,F$25)&lt;0,0,MIN(F$21,F$25))</f>
        <v>3318.98504282476</v>
      </c>
      <c r="G28" s="61" t="n">
        <f aca="false">IF(MIN(G$21,G$25)&lt;0,0,MIN(G$21,G$25))</f>
        <v>14565.2564136159</v>
      </c>
      <c r="H28" s="61" t="n">
        <f aca="false">IF(MIN(H$21,H$25)&lt;0,0,MIN(H$21,H$25))</f>
        <v>12140.2783228945</v>
      </c>
      <c r="I28" s="61" t="n">
        <f aca="false">IF(MIN(I$21,I$25)&lt;0,0,MIN(I$21,I$25))</f>
        <v>7484.13645784148</v>
      </c>
      <c r="J28" s="61" t="n">
        <f aca="false">IF(MIN(J$21,J$25)&lt;0,0,MIN(J$21,J$25))</f>
        <v>2741.18704053653</v>
      </c>
      <c r="K28" s="61" t="n">
        <f aca="false">IF(MIN(K$21,K$25)&lt;0,0,MIN(K$21,K$25))</f>
        <v>437.489440918118</v>
      </c>
      <c r="L28" s="61" t="n">
        <f aca="false">IF(MIN(L$21,L$25)&lt;0,0,MIN(L$21,L$25))</f>
        <v>0</v>
      </c>
      <c r="M28" s="61" t="n">
        <f aca="false">IF(MIN(M$21,M$25)&lt;0,0,MIN(M$21,M$25))</f>
        <v>0</v>
      </c>
      <c r="N28" s="61" t="n">
        <f aca="false">IF(MIN(N$21,N$25)&lt;0,0,MIN(N$21,N$25))</f>
        <v>0</v>
      </c>
      <c r="O28" s="61" t="n">
        <f aca="false">IF(MIN(O$21,O$25)&lt;0,0,MIN(O$21,O$25))</f>
        <v>0</v>
      </c>
      <c r="P28" s="61" t="n">
        <f aca="false">IF(MIN(P$21,P$25)&lt;0,0,MIN(P$21,P$25))</f>
        <v>0</v>
      </c>
      <c r="Q28" s="61" t="n">
        <f aca="false">IF(MIN(Q$21,Q$25)&lt;0,0,MIN(Q$21,Q$25))</f>
        <v>0</v>
      </c>
      <c r="R28" s="61" t="n">
        <f aca="false">IF(MIN(R$21,R$25)&lt;0,0,MIN(R$21,R$25))</f>
        <v>0</v>
      </c>
      <c r="S28" s="61" t="n">
        <f aca="false">IF(MIN(S$21,S$25)&lt;0,0,MIN(S$21,S$25))</f>
        <v>167.364853011408</v>
      </c>
      <c r="T28" s="61" t="n">
        <f aca="false">IF(MIN(T$21,T$25)&lt;0,0,MIN(T$21,T$25))</f>
        <v>2213.23341293172</v>
      </c>
      <c r="U28" s="61" t="n">
        <f aca="false">IF(MIN(U$21,U$25)&lt;0,0,MIN(U$21,U$25))</f>
        <v>4140.84684470947</v>
      </c>
      <c r="V28" s="61" t="n">
        <f aca="false">IF(MIN(V$21,V$25)&lt;0,0,MIN(V$21,V$25))</f>
        <v>6853.20060083562</v>
      </c>
      <c r="W28" s="61" t="n">
        <f aca="false">IF(MIN(W$21,W$25)&lt;0,0,MIN(W$21,W$25))</f>
        <v>9979.11857361734</v>
      </c>
      <c r="X28" s="61" t="n">
        <f aca="false">IF(MIN(X$21,X$25)&lt;0,0,MIN(X$21,X$25))</f>
        <v>13332.2572145414</v>
      </c>
      <c r="Y28" s="61" t="n">
        <f aca="false">IF(MIN(Y$21,Y$25)&lt;0,0,MIN(Y$21,Y$25))</f>
        <v>14565.2564136159</v>
      </c>
      <c r="Z28" s="61" t="n">
        <f aca="false">IF(MIN(Z$21,Z$25)&lt;0,0,MIN(Z$21,Z$25))</f>
        <v>5429.41476503121</v>
      </c>
      <c r="AA28" s="529"/>
      <c r="AB28" s="39"/>
    </row>
    <row r="29" customFormat="false" ht="12.75" hidden="false" customHeight="false" outlineLevel="0" collapsed="false">
      <c r="A29" s="37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529"/>
    </row>
    <row r="30" customFormat="false" ht="12.75" hidden="false" customHeight="false" outlineLevel="0" collapsed="false">
      <c r="A30" s="138"/>
      <c r="B30" s="39" t="s">
        <v>489</v>
      </c>
      <c r="C30" s="39"/>
      <c r="D30" s="426"/>
      <c r="E30" s="61" t="n">
        <f aca="false">((E27*2)+E28)/3</f>
        <v>2212.6566952165</v>
      </c>
      <c r="F30" s="61" t="n">
        <f aca="false">((F27*2)+F28)/3</f>
        <v>10816.4992900188</v>
      </c>
      <c r="G30" s="61" t="n">
        <f aca="false">((G27*2)+G28)/3</f>
        <v>14565.2564136159</v>
      </c>
      <c r="H30" s="61" t="n">
        <f aca="false">((H27*2)+H28)/3</f>
        <v>13756.9303833754</v>
      </c>
      <c r="I30" s="61" t="n">
        <f aca="false">((I27*2)+I28)/3</f>
        <v>10588.2310345435</v>
      </c>
      <c r="J30" s="61" t="n">
        <f aca="false">((J27*2)+J28)/3</f>
        <v>5903.15331873983</v>
      </c>
      <c r="K30" s="61" t="n">
        <f aca="false">((K27*2)+K28)/3</f>
        <v>1973.28784066373</v>
      </c>
      <c r="L30" s="61" t="n">
        <f aca="false">((L27*2)+L28)/3</f>
        <v>291.659627278745</v>
      </c>
      <c r="M30" s="61" t="n">
        <f aca="false">((M27*2)+M28)/3</f>
        <v>0</v>
      </c>
      <c r="N30" s="61" t="n">
        <f aca="false">((N27*2)+N28)/3</f>
        <v>0</v>
      </c>
      <c r="O30" s="61" t="n">
        <f aca="false">((O27*2)+O28)/3</f>
        <v>0</v>
      </c>
      <c r="P30" s="61" t="n">
        <f aca="false">((P27*2)+P28)/3</f>
        <v>0</v>
      </c>
      <c r="Q30" s="61" t="n">
        <f aca="false">((Q27*2)+Q28)/3</f>
        <v>0</v>
      </c>
      <c r="R30" s="61" t="n">
        <f aca="false">((R27*2)+R28)/3</f>
        <v>111.576568674272</v>
      </c>
      <c r="S30" s="61" t="n">
        <f aca="false">((S27*2)+S28)/3</f>
        <v>1531.27722629162</v>
      </c>
      <c r="T30" s="61" t="n">
        <f aca="false">((T27*2)+T28)/3</f>
        <v>3498.30903411688</v>
      </c>
      <c r="U30" s="61" t="n">
        <f aca="false">((U27*2)+U28)/3</f>
        <v>5949.0826821269</v>
      </c>
      <c r="V30" s="61" t="n">
        <f aca="false">((V27*2)+V28)/3</f>
        <v>8937.14591602343</v>
      </c>
      <c r="W30" s="61" t="n">
        <f aca="false">((W27*2)+W28)/3</f>
        <v>12214.5443342334</v>
      </c>
      <c r="X30" s="61" t="n">
        <f aca="false">((X27*2)+X28)/3</f>
        <v>14154.256680591</v>
      </c>
      <c r="Y30" s="61" t="n">
        <f aca="false">((Y27*2)+Y28)/3</f>
        <v>14565.2564136159</v>
      </c>
      <c r="Z30" s="61" t="n">
        <f aca="false">((Z27*2)+Z28)/3</f>
        <v>11519.9758640876</v>
      </c>
      <c r="AA30" s="529"/>
      <c r="AB30" s="39"/>
    </row>
    <row r="31" customFormat="false" ht="12.75" hidden="false" customHeight="false" outlineLevel="0" collapsed="false">
      <c r="A31" s="138"/>
      <c r="B31" s="39" t="s">
        <v>490</v>
      </c>
      <c r="C31" s="458" t="n">
        <f aca="false">Opic</f>
        <v>0.01</v>
      </c>
      <c r="D31" s="426"/>
      <c r="E31" s="535" t="n">
        <f aca="false">$C31</f>
        <v>0.01</v>
      </c>
      <c r="F31" s="535" t="n">
        <f aca="false">$C31</f>
        <v>0.01</v>
      </c>
      <c r="G31" s="535" t="n">
        <f aca="false">$C31</f>
        <v>0.01</v>
      </c>
      <c r="H31" s="535" t="n">
        <f aca="false">$C31</f>
        <v>0.01</v>
      </c>
      <c r="I31" s="535" t="n">
        <f aca="false">$C31</f>
        <v>0.01</v>
      </c>
      <c r="J31" s="535" t="n">
        <f aca="false">$C31</f>
        <v>0.01</v>
      </c>
      <c r="K31" s="535" t="n">
        <f aca="false">$C31</f>
        <v>0.01</v>
      </c>
      <c r="L31" s="535" t="n">
        <f aca="false">$C31</f>
        <v>0.01</v>
      </c>
      <c r="M31" s="535" t="n">
        <f aca="false">$C31</f>
        <v>0.01</v>
      </c>
      <c r="N31" s="535" t="n">
        <f aca="false">$C31</f>
        <v>0.01</v>
      </c>
      <c r="O31" s="535" t="n">
        <f aca="false">$C31</f>
        <v>0.01</v>
      </c>
      <c r="P31" s="535" t="n">
        <f aca="false">$C31</f>
        <v>0.01</v>
      </c>
      <c r="Q31" s="535" t="n">
        <f aca="false">$C31</f>
        <v>0.01</v>
      </c>
      <c r="R31" s="535" t="n">
        <f aca="false">$C31</f>
        <v>0.01</v>
      </c>
      <c r="S31" s="535" t="n">
        <f aca="false">$C31</f>
        <v>0.01</v>
      </c>
      <c r="T31" s="535" t="n">
        <f aca="false">$C31</f>
        <v>0.01</v>
      </c>
      <c r="U31" s="535" t="n">
        <f aca="false">$C31</f>
        <v>0.01</v>
      </c>
      <c r="V31" s="535" t="n">
        <f aca="false">$C31</f>
        <v>0.01</v>
      </c>
      <c r="W31" s="535" t="n">
        <f aca="false">$C31</f>
        <v>0.01</v>
      </c>
      <c r="X31" s="535" t="n">
        <f aca="false">$C31</f>
        <v>0.01</v>
      </c>
      <c r="Y31" s="535" t="n">
        <f aca="false">$C31</f>
        <v>0.01</v>
      </c>
      <c r="Z31" s="535" t="n">
        <f aca="false">$C31</f>
        <v>0.01</v>
      </c>
      <c r="AA31" s="529"/>
      <c r="AB31" s="39"/>
    </row>
    <row r="32" customFormat="false" ht="12.75" hidden="false" customHeight="false" outlineLevel="0" collapsed="false">
      <c r="A32" s="420"/>
      <c r="B32" s="466" t="s">
        <v>491</v>
      </c>
      <c r="C32" s="466"/>
      <c r="D32" s="423"/>
      <c r="E32" s="532" t="n">
        <f aca="false">E30*E31</f>
        <v>22.126566952165</v>
      </c>
      <c r="F32" s="532" t="n">
        <f aca="false">F30*F31</f>
        <v>108.164992900188</v>
      </c>
      <c r="G32" s="532" t="n">
        <f aca="false">G30*G31</f>
        <v>145.652564136159</v>
      </c>
      <c r="H32" s="532" t="n">
        <f aca="false">H30*H31</f>
        <v>137.569303833754</v>
      </c>
      <c r="I32" s="532" t="n">
        <f aca="false">I30*I31</f>
        <v>105.882310345435</v>
      </c>
      <c r="J32" s="532" t="n">
        <f aca="false">J30*J31</f>
        <v>59.0315331873983</v>
      </c>
      <c r="K32" s="532" t="n">
        <f aca="false">K30*K31</f>
        <v>19.7328784066373</v>
      </c>
      <c r="L32" s="532" t="n">
        <f aca="false">L30*L31</f>
        <v>2.91659627278745</v>
      </c>
      <c r="M32" s="532" t="n">
        <f aca="false">M30*M31</f>
        <v>0</v>
      </c>
      <c r="N32" s="532" t="n">
        <f aca="false">N30*N31</f>
        <v>0</v>
      </c>
      <c r="O32" s="532" t="n">
        <f aca="false">O30*O31</f>
        <v>0</v>
      </c>
      <c r="P32" s="532" t="n">
        <f aca="false">P30*P31</f>
        <v>0</v>
      </c>
      <c r="Q32" s="532" t="n">
        <f aca="false">Q30*Q31</f>
        <v>0</v>
      </c>
      <c r="R32" s="532" t="n">
        <f aca="false">R30*R31</f>
        <v>1.11576568674272</v>
      </c>
      <c r="S32" s="532" t="n">
        <f aca="false">S30*S31</f>
        <v>15.3127722629162</v>
      </c>
      <c r="T32" s="532" t="n">
        <f aca="false">T30*T31</f>
        <v>34.9830903411688</v>
      </c>
      <c r="U32" s="532" t="n">
        <f aca="false">U30*U31</f>
        <v>59.490826821269</v>
      </c>
      <c r="V32" s="532" t="n">
        <f aca="false">V30*V31</f>
        <v>89.3714591602343</v>
      </c>
      <c r="W32" s="532" t="n">
        <f aca="false">W30*W31</f>
        <v>122.145443342334</v>
      </c>
      <c r="X32" s="532" t="n">
        <f aca="false">X30*X31</f>
        <v>141.54256680591</v>
      </c>
      <c r="Y32" s="532" t="n">
        <f aca="false">Y30*Y31</f>
        <v>145.652564136159</v>
      </c>
      <c r="Z32" s="532" t="n">
        <f aca="false">Z30*Z31</f>
        <v>115.199758640876</v>
      </c>
      <c r="AA32" s="533" t="n">
        <f aca="false">SUM(E32:Z32)</f>
        <v>1325.89099323213</v>
      </c>
      <c r="AB32" s="39"/>
    </row>
    <row r="33" customFormat="false" ht="12.75" hidden="false" customHeight="false" outlineLevel="0" collapsed="false">
      <c r="A33" s="37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529"/>
    </row>
    <row r="34" customFormat="false" ht="12.75" hidden="false" customHeight="false" outlineLevel="0" collapsed="false">
      <c r="A34" s="363" t="s">
        <v>492</v>
      </c>
      <c r="B34" s="39"/>
      <c r="C34" s="39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52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2.75" hidden="false" customHeight="false" outlineLevel="0" collapsed="false">
      <c r="A35" s="138"/>
      <c r="B35" s="39" t="s">
        <v>493</v>
      </c>
      <c r="C35" s="39"/>
      <c r="D35" s="105" t="s">
        <v>481</v>
      </c>
      <c r="E35" s="61" t="n">
        <f aca="false">-SUM(Returns!$D$52:D$53)</f>
        <v>-0</v>
      </c>
      <c r="F35" s="61" t="n">
        <f aca="false">-SUM(Returns!$D$52:E$53)</f>
        <v>-0</v>
      </c>
      <c r="G35" s="61" t="n">
        <f aca="false">-SUM(Returns!$D$52:F$53)</f>
        <v>13609.1090523661</v>
      </c>
      <c r="H35" s="61" t="n">
        <f aca="false">-SUM(Returns!$D$52:G$53)</f>
        <v>-0</v>
      </c>
      <c r="I35" s="61" t="n">
        <f aca="false">-SUM(Returns!$D$52:H$53)</f>
        <v>-0</v>
      </c>
      <c r="J35" s="61" t="n">
        <f aca="false">-SUM(Returns!$D$52:I$53)</f>
        <v>-0</v>
      </c>
      <c r="K35" s="61" t="n">
        <f aca="false">-SUM(Returns!$D$52:J$53)</f>
        <v>-0</v>
      </c>
      <c r="L35" s="61" t="n">
        <f aca="false">-SUM(Returns!$D$52:K$53)</f>
        <v>-0</v>
      </c>
      <c r="M35" s="61" t="n">
        <f aca="false">-SUM(Returns!$D$52:L$53)</f>
        <v>-0</v>
      </c>
      <c r="N35" s="61" t="n">
        <f aca="false">-SUM(Returns!$D$52:M$53)</f>
        <v>-0</v>
      </c>
      <c r="O35" s="61" t="n">
        <f aca="false">-SUM(Returns!$D$52:N$53)</f>
        <v>-0</v>
      </c>
      <c r="P35" s="61" t="n">
        <f aca="false">-SUM(Returns!$D$52:O$53)</f>
        <v>-0</v>
      </c>
      <c r="Q35" s="61" t="n">
        <f aca="false">-SUM(Returns!$D$52:P$53)</f>
        <v>-0</v>
      </c>
      <c r="R35" s="61" t="n">
        <f aca="false">-SUM(Returns!$D$52:Q$53)</f>
        <v>-0</v>
      </c>
      <c r="S35" s="61" t="n">
        <f aca="false">-SUM(Returns!$D$52:R$53)</f>
        <v>-0</v>
      </c>
      <c r="T35" s="61" t="n">
        <f aca="false">-SUM(Returns!$D$52:S$53)</f>
        <v>-0</v>
      </c>
      <c r="U35" s="61" t="n">
        <f aca="false">-SUM(Returns!$D$52:T$53)</f>
        <v>-0</v>
      </c>
      <c r="V35" s="61" t="n">
        <f aca="false">-SUM(Returns!$D$52:U$53)</f>
        <v>-0</v>
      </c>
      <c r="W35" s="61" t="n">
        <f aca="false">-SUM(Returns!$D$52:V$53)</f>
        <v>-0</v>
      </c>
      <c r="X35" s="61" t="n">
        <f aca="false">-SUM(Returns!$D$52:W$53)</f>
        <v>-0</v>
      </c>
      <c r="Y35" s="61" t="n">
        <f aca="false">-SUM(Returns!$D$52:X$53)</f>
        <v>-0</v>
      </c>
      <c r="Z35" s="61" t="n">
        <f aca="false">-SUM(Returns!$D$52:Y$53)</f>
        <v>-0</v>
      </c>
      <c r="AA35" s="529"/>
      <c r="AB35" s="39"/>
    </row>
    <row r="36" customFormat="false" ht="12.75" hidden="false" customHeight="false" outlineLevel="0" collapsed="false">
      <c r="A36" s="138"/>
      <c r="B36" s="39" t="s">
        <v>494</v>
      </c>
      <c r="C36" s="39"/>
      <c r="D36" s="105" t="s">
        <v>484</v>
      </c>
      <c r="E36" s="61" t="n">
        <f aca="false">-SUM(Returns!$E$52:E$53)</f>
        <v>-0</v>
      </c>
      <c r="F36" s="61" t="n">
        <f aca="false">-SUM(Returns!$E$52:F$53)</f>
        <v>13609.1090523661</v>
      </c>
      <c r="G36" s="61" t="n">
        <f aca="false">-SUM(Returns!$E$52:G$53)</f>
        <v>-0</v>
      </c>
      <c r="H36" s="61" t="n">
        <f aca="false">-SUM(Returns!$E$52:H$53)</f>
        <v>-0</v>
      </c>
      <c r="I36" s="61" t="n">
        <f aca="false">-SUM(Returns!$E$52:I$53)</f>
        <v>-0</v>
      </c>
      <c r="J36" s="61" t="n">
        <f aca="false">-SUM(Returns!$E$52:J$53)</f>
        <v>-0</v>
      </c>
      <c r="K36" s="61" t="n">
        <f aca="false">-SUM(Returns!$E$52:K$53)</f>
        <v>-0</v>
      </c>
      <c r="L36" s="61" t="n">
        <f aca="false">-SUM(Returns!$E$52:L$53)</f>
        <v>-0</v>
      </c>
      <c r="M36" s="61" t="n">
        <f aca="false">-SUM(Returns!$E$52:M$53)</f>
        <v>-0</v>
      </c>
      <c r="N36" s="61" t="n">
        <f aca="false">-SUM(Returns!$E$52:N$53)</f>
        <v>-0</v>
      </c>
      <c r="O36" s="61" t="n">
        <f aca="false">-SUM(Returns!$E$52:O$53)</f>
        <v>-0</v>
      </c>
      <c r="P36" s="61" t="n">
        <f aca="false">-SUM(Returns!$E$52:P$53)</f>
        <v>-0</v>
      </c>
      <c r="Q36" s="61" t="n">
        <f aca="false">-SUM(Returns!$E$52:Q$53)</f>
        <v>-0</v>
      </c>
      <c r="R36" s="61" t="n">
        <f aca="false">-SUM(Returns!$E$52:R$53)</f>
        <v>-0</v>
      </c>
      <c r="S36" s="61" t="n">
        <f aca="false">-SUM(Returns!$E$52:S$53)</f>
        <v>-0</v>
      </c>
      <c r="T36" s="61" t="n">
        <f aca="false">-SUM(Returns!$E$52:T$53)</f>
        <v>-0</v>
      </c>
      <c r="U36" s="61" t="n">
        <f aca="false">-SUM(Returns!$E$52:U$53)</f>
        <v>-0</v>
      </c>
      <c r="V36" s="61" t="n">
        <f aca="false">-SUM(Returns!$E$52:V$53)</f>
        <v>-0</v>
      </c>
      <c r="W36" s="61" t="n">
        <f aca="false">-SUM(Returns!$E$52:W$53)</f>
        <v>-0</v>
      </c>
      <c r="X36" s="61" t="n">
        <f aca="false">-SUM(Returns!$E$52:X$53)</f>
        <v>-0</v>
      </c>
      <c r="Y36" s="61" t="n">
        <f aca="false">-SUM(Returns!$E$52:Y$53)</f>
        <v>-0</v>
      </c>
      <c r="Z36" s="61" t="n">
        <f aca="false">-SUM(Returns!$E$52:Z$53)</f>
        <v>-0</v>
      </c>
      <c r="AA36" s="529"/>
      <c r="AB36" s="39"/>
    </row>
    <row r="37" customFormat="false" ht="12.75" hidden="false" customHeight="false" outlineLevel="0" collapsed="false">
      <c r="A37" s="138"/>
      <c r="B37" s="39"/>
      <c r="C37" s="39"/>
      <c r="D37" s="426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529"/>
      <c r="AB37" s="39"/>
    </row>
    <row r="38" customFormat="false" ht="12.75" hidden="false" customHeight="false" outlineLevel="0" collapsed="false">
      <c r="A38" s="138"/>
      <c r="B38" s="39" t="s">
        <v>485</v>
      </c>
      <c r="C38" s="39"/>
      <c r="D38" s="105" t="s">
        <v>486</v>
      </c>
      <c r="E38" s="61" t="n">
        <f aca="false">IF(MAX(E$35,E$36)&lt;0,0,MAX(E$35,E$36))</f>
        <v>-0</v>
      </c>
      <c r="F38" s="61" t="n">
        <f aca="false">IF(MAX(F$35,F$36)&lt;0,0,MAX(F$35,F$36))</f>
        <v>13609.1090523661</v>
      </c>
      <c r="G38" s="61" t="n">
        <f aca="false">IF(MAX(G$35,G$36)&lt;0,0,MAX(G$35,G$36))</f>
        <v>13609.1090523661</v>
      </c>
      <c r="H38" s="61" t="n">
        <f aca="false">IF(MAX(H$35,H$36)&lt;0,0,MAX(H$35,H$36))</f>
        <v>-0</v>
      </c>
      <c r="I38" s="61" t="n">
        <f aca="false">IF(MAX(I$35,I$36)&lt;0,0,MAX(I$35,I$36))</f>
        <v>-0</v>
      </c>
      <c r="J38" s="61" t="n">
        <f aca="false">IF(MAX(J$35,J$36)&lt;0,0,MAX(J$35,J$36))</f>
        <v>-0</v>
      </c>
      <c r="K38" s="61" t="n">
        <f aca="false">IF(MAX(K$35,K$36)&lt;0,0,MAX(K$35,K$36))</f>
        <v>-0</v>
      </c>
      <c r="L38" s="61" t="n">
        <f aca="false">IF(MAX(L$35,L$36)&lt;0,0,MAX(L$35,L$36))</f>
        <v>-0</v>
      </c>
      <c r="M38" s="61" t="n">
        <f aca="false">IF(MAX(M$35,M$36)&lt;0,0,MAX(M$35,M$36))</f>
        <v>-0</v>
      </c>
      <c r="N38" s="61" t="n">
        <f aca="false">IF(MAX(N$35,N$36)&lt;0,0,MAX(N$35,N$36))</f>
        <v>-0</v>
      </c>
      <c r="O38" s="61" t="n">
        <f aca="false">IF(MAX(O$35,O$36)&lt;0,0,MAX(O$35,O$36))</f>
        <v>-0</v>
      </c>
      <c r="P38" s="61" t="n">
        <f aca="false">IF(MAX(P$35,P$36)&lt;0,0,MAX(P$35,P$36))</f>
        <v>-0</v>
      </c>
      <c r="Q38" s="61" t="n">
        <f aca="false">IF(MAX(Q$35,Q$36)&lt;0,0,MAX(Q$35,Q$36))</f>
        <v>-0</v>
      </c>
      <c r="R38" s="61" t="n">
        <f aca="false">IF(MAX(R$35,R$36)&lt;0,0,MAX(R$35,R$36))</f>
        <v>-0</v>
      </c>
      <c r="S38" s="61" t="n">
        <f aca="false">IF(MAX(S$35,S$36)&lt;0,0,MAX(S$35,S$36))</f>
        <v>-0</v>
      </c>
      <c r="T38" s="61" t="n">
        <f aca="false">IF(MAX(T$35,T$36)&lt;0,0,MAX(T$35,T$36))</f>
        <v>-0</v>
      </c>
      <c r="U38" s="61" t="n">
        <f aca="false">IF(MAX(U$35,U$36)&lt;0,0,MAX(U$35,U$36))</f>
        <v>-0</v>
      </c>
      <c r="V38" s="61" t="n">
        <f aca="false">IF(MAX(V$35,V$36)&lt;0,0,MAX(V$35,V$36))</f>
        <v>-0</v>
      </c>
      <c r="W38" s="61" t="n">
        <f aca="false">IF(MAX(W$35,W$36)&lt;0,0,MAX(W$35,W$36))</f>
        <v>-0</v>
      </c>
      <c r="X38" s="61" t="n">
        <f aca="false">IF(MAX(X$35,X$36)&lt;0,0,MAX(X$35,X$36))</f>
        <v>-0</v>
      </c>
      <c r="Y38" s="61" t="n">
        <f aca="false">IF(MAX(Y$35,Y$36)&lt;0,0,MAX(Y$35,Y$36))</f>
        <v>-0</v>
      </c>
      <c r="Z38" s="61" t="n">
        <f aca="false">IF(MAX(Z$35,Z$36)&lt;0,0,MAX(Z$35,Z$36))</f>
        <v>-0</v>
      </c>
      <c r="AA38" s="529"/>
      <c r="AB38" s="39"/>
    </row>
    <row r="39" customFormat="false" ht="12.75" hidden="false" customHeight="false" outlineLevel="0" collapsed="false">
      <c r="A39" s="138"/>
      <c r="B39" s="39" t="s">
        <v>487</v>
      </c>
      <c r="C39" s="39"/>
      <c r="D39" s="105" t="s">
        <v>488</v>
      </c>
      <c r="E39" s="61" t="n">
        <f aca="false">IF(MIN(E$35,E$36)&lt;0,0,MIN(E$35,E$36))</f>
        <v>-0</v>
      </c>
      <c r="F39" s="61" t="n">
        <f aca="false">IF(MIN(F$35,F$36)&lt;0,0,MIN(F$35,F$36))</f>
        <v>-0</v>
      </c>
      <c r="G39" s="61" t="n">
        <f aca="false">IF(MIN(G$35,G$36)&lt;0,0,MIN(G$35,G$36))</f>
        <v>-0</v>
      </c>
      <c r="H39" s="61" t="n">
        <f aca="false">IF(MIN(H$35,H$36)&lt;0,0,MIN(H$35,H$36))</f>
        <v>-0</v>
      </c>
      <c r="I39" s="61" t="n">
        <f aca="false">IF(MIN(I$35,I$36)&lt;0,0,MIN(I$35,I$36))</f>
        <v>-0</v>
      </c>
      <c r="J39" s="61" t="n">
        <f aca="false">IF(MIN(J$35,J$36)&lt;0,0,MIN(J$35,J$36))</f>
        <v>-0</v>
      </c>
      <c r="K39" s="61" t="n">
        <f aca="false">IF(MIN(K$35,K$36)&lt;0,0,MIN(K$35,K$36))</f>
        <v>-0</v>
      </c>
      <c r="L39" s="61" t="n">
        <f aca="false">IF(MIN(L$35,L$36)&lt;0,0,MIN(L$35,L$36))</f>
        <v>-0</v>
      </c>
      <c r="M39" s="61" t="n">
        <f aca="false">IF(MIN(M$35,M$36)&lt;0,0,MIN(M$35,M$36))</f>
        <v>-0</v>
      </c>
      <c r="N39" s="61" t="n">
        <f aca="false">IF(MIN(N$35,N$36)&lt;0,0,MIN(N$35,N$36))</f>
        <v>-0</v>
      </c>
      <c r="O39" s="61" t="n">
        <f aca="false">IF(MIN(O$35,O$36)&lt;0,0,MIN(O$35,O$36))</f>
        <v>-0</v>
      </c>
      <c r="P39" s="61" t="n">
        <f aca="false">IF(MIN(P$35,P$36)&lt;0,0,MIN(P$35,P$36))</f>
        <v>-0</v>
      </c>
      <c r="Q39" s="61" t="n">
        <f aca="false">IF(MIN(Q$35,Q$36)&lt;0,0,MIN(Q$35,Q$36))</f>
        <v>-0</v>
      </c>
      <c r="R39" s="61" t="n">
        <f aca="false">IF(MIN(R$35,R$36)&lt;0,0,MIN(R$35,R$36))</f>
        <v>-0</v>
      </c>
      <c r="S39" s="61" t="n">
        <f aca="false">IF(MIN(S$35,S$36)&lt;0,0,MIN(S$35,S$36))</f>
        <v>-0</v>
      </c>
      <c r="T39" s="61" t="n">
        <f aca="false">IF(MIN(T$35,T$36)&lt;0,0,MIN(T$35,T$36))</f>
        <v>-0</v>
      </c>
      <c r="U39" s="61" t="n">
        <f aca="false">IF(MIN(U$35,U$36)&lt;0,0,MIN(U$35,U$36))</f>
        <v>-0</v>
      </c>
      <c r="V39" s="61" t="n">
        <f aca="false">IF(MIN(V$35,V$36)&lt;0,0,MIN(V$35,V$36))</f>
        <v>-0</v>
      </c>
      <c r="W39" s="61" t="n">
        <f aca="false">IF(MIN(W$35,W$36)&lt;0,0,MIN(W$35,W$36))</f>
        <v>-0</v>
      </c>
      <c r="X39" s="61" t="n">
        <f aca="false">IF(MIN(X$35,X$36)&lt;0,0,MIN(X$35,X$36))</f>
        <v>-0</v>
      </c>
      <c r="Y39" s="61" t="n">
        <f aca="false">IF(MIN(Y$35,Y$36)&lt;0,0,MIN(Y$35,Y$36))</f>
        <v>-0</v>
      </c>
      <c r="Z39" s="61" t="n">
        <f aca="false">IF(MIN(Z$35,Z$36)&lt;0,0,MIN(Z$35,Z$36))</f>
        <v>-0</v>
      </c>
      <c r="AA39" s="529"/>
      <c r="AB39" s="39"/>
    </row>
    <row r="40" customFormat="false" ht="12.75" hidden="false" customHeight="false" outlineLevel="0" collapsed="false">
      <c r="A40" s="37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529"/>
    </row>
    <row r="41" customFormat="false" ht="12.75" hidden="false" customHeight="false" outlineLevel="0" collapsed="false">
      <c r="A41" s="138"/>
      <c r="B41" s="39" t="s">
        <v>489</v>
      </c>
      <c r="C41" s="39"/>
      <c r="D41" s="426"/>
      <c r="E41" s="61" t="n">
        <f aca="false">((E38*2)+E39)/3</f>
        <v>-0</v>
      </c>
      <c r="F41" s="61" t="n">
        <f aca="false">((F38*2)+F39)/3</f>
        <v>9072.73936824407</v>
      </c>
      <c r="G41" s="61" t="n">
        <f aca="false">((G38*2)+G39)/3</f>
        <v>9072.73936824407</v>
      </c>
      <c r="H41" s="61" t="n">
        <f aca="false">((H38*2)+H39)/3</f>
        <v>-0</v>
      </c>
      <c r="I41" s="61" t="n">
        <f aca="false">((I38*2)+I39)/3</f>
        <v>-0</v>
      </c>
      <c r="J41" s="61" t="n">
        <f aca="false">((J38*2)+J39)/3</f>
        <v>-0</v>
      </c>
      <c r="K41" s="61" t="n">
        <f aca="false">((K38*2)+K39)/3</f>
        <v>-0</v>
      </c>
      <c r="L41" s="61" t="n">
        <f aca="false">((L38*2)+L39)/3</f>
        <v>-0</v>
      </c>
      <c r="M41" s="61" t="n">
        <f aca="false">((M38*2)+M39)/3</f>
        <v>-0</v>
      </c>
      <c r="N41" s="61" t="n">
        <f aca="false">((N38*2)+N39)/3</f>
        <v>-0</v>
      </c>
      <c r="O41" s="61" t="n">
        <f aca="false">((O38*2)+O39)/3</f>
        <v>-0</v>
      </c>
      <c r="P41" s="61" t="n">
        <f aca="false">((P38*2)+P39)/3</f>
        <v>-0</v>
      </c>
      <c r="Q41" s="61" t="n">
        <f aca="false">((Q38*2)+Q39)/3</f>
        <v>-0</v>
      </c>
      <c r="R41" s="61" t="n">
        <f aca="false">((R38*2)+R39)/3</f>
        <v>-0</v>
      </c>
      <c r="S41" s="61" t="n">
        <f aca="false">((S38*2)+S39)/3</f>
        <v>-0</v>
      </c>
      <c r="T41" s="61" t="n">
        <f aca="false">((T38*2)+T39)/3</f>
        <v>-0</v>
      </c>
      <c r="U41" s="61" t="n">
        <f aca="false">((U38*2)+U39)/3</f>
        <v>-0</v>
      </c>
      <c r="V41" s="61" t="n">
        <f aca="false">((V38*2)+V39)/3</f>
        <v>-0</v>
      </c>
      <c r="W41" s="61" t="n">
        <f aca="false">((W38*2)+W39)/3</f>
        <v>-0</v>
      </c>
      <c r="X41" s="61" t="n">
        <f aca="false">((X38*2)+X39)/3</f>
        <v>-0</v>
      </c>
      <c r="Y41" s="61" t="n">
        <f aca="false">((Y38*2)+Y39)/3</f>
        <v>-0</v>
      </c>
      <c r="Z41" s="61" t="n">
        <f aca="false">((Z38*2)+Z39)/3</f>
        <v>-0</v>
      </c>
      <c r="AA41" s="529"/>
      <c r="AB41" s="39"/>
    </row>
    <row r="42" customFormat="false" ht="12.75" hidden="false" customHeight="false" outlineLevel="0" collapsed="false">
      <c r="A42" s="138"/>
      <c r="B42" s="39" t="s">
        <v>490</v>
      </c>
      <c r="C42" s="458" t="n">
        <f aca="false">Opic</f>
        <v>0.01</v>
      </c>
      <c r="D42" s="426"/>
      <c r="E42" s="535" t="n">
        <f aca="false">$C42</f>
        <v>0.01</v>
      </c>
      <c r="F42" s="535" t="n">
        <f aca="false">$C42</f>
        <v>0.01</v>
      </c>
      <c r="G42" s="535" t="n">
        <f aca="false">$C42</f>
        <v>0.01</v>
      </c>
      <c r="H42" s="535" t="n">
        <f aca="false">$C42</f>
        <v>0.01</v>
      </c>
      <c r="I42" s="535" t="n">
        <f aca="false">$C42</f>
        <v>0.01</v>
      </c>
      <c r="J42" s="535" t="n">
        <f aca="false">$C42</f>
        <v>0.01</v>
      </c>
      <c r="K42" s="535" t="n">
        <f aca="false">$C42</f>
        <v>0.01</v>
      </c>
      <c r="L42" s="535" t="n">
        <f aca="false">$C42</f>
        <v>0.01</v>
      </c>
      <c r="M42" s="535" t="n">
        <f aca="false">$C42</f>
        <v>0.01</v>
      </c>
      <c r="N42" s="535" t="n">
        <f aca="false">$C42</f>
        <v>0.01</v>
      </c>
      <c r="O42" s="535" t="n">
        <f aca="false">$C42</f>
        <v>0.01</v>
      </c>
      <c r="P42" s="535" t="n">
        <f aca="false">$C42</f>
        <v>0.01</v>
      </c>
      <c r="Q42" s="535" t="n">
        <f aca="false">$C42</f>
        <v>0.01</v>
      </c>
      <c r="R42" s="535" t="n">
        <f aca="false">$C42</f>
        <v>0.01</v>
      </c>
      <c r="S42" s="535" t="n">
        <f aca="false">$C42</f>
        <v>0.01</v>
      </c>
      <c r="T42" s="535" t="n">
        <f aca="false">$C42</f>
        <v>0.01</v>
      </c>
      <c r="U42" s="535" t="n">
        <f aca="false">$C42</f>
        <v>0.01</v>
      </c>
      <c r="V42" s="535" t="n">
        <f aca="false">$C42</f>
        <v>0.01</v>
      </c>
      <c r="W42" s="535" t="n">
        <f aca="false">$C42</f>
        <v>0.01</v>
      </c>
      <c r="X42" s="535" t="n">
        <f aca="false">$C42</f>
        <v>0.01</v>
      </c>
      <c r="Y42" s="535" t="n">
        <f aca="false">$C42</f>
        <v>0.01</v>
      </c>
      <c r="Z42" s="535" t="n">
        <f aca="false">$C42</f>
        <v>0.01</v>
      </c>
      <c r="AA42" s="529"/>
      <c r="AB42" s="39"/>
    </row>
    <row r="43" customFormat="false" ht="12.75" hidden="false" customHeight="false" outlineLevel="0" collapsed="false">
      <c r="A43" s="420"/>
      <c r="B43" s="466" t="s">
        <v>495</v>
      </c>
      <c r="C43" s="466"/>
      <c r="D43" s="423"/>
      <c r="E43" s="532" t="n">
        <f aca="false">E41*E42</f>
        <v>-0</v>
      </c>
      <c r="F43" s="532" t="n">
        <f aca="false">F41*F42</f>
        <v>90.7273936824407</v>
      </c>
      <c r="G43" s="532" t="n">
        <f aca="false">G41*G42</f>
        <v>90.7273936824407</v>
      </c>
      <c r="H43" s="532" t="n">
        <f aca="false">H41*H42</f>
        <v>-0</v>
      </c>
      <c r="I43" s="532" t="n">
        <f aca="false">I41*I42</f>
        <v>-0</v>
      </c>
      <c r="J43" s="532" t="n">
        <f aca="false">J41*J42</f>
        <v>-0</v>
      </c>
      <c r="K43" s="532" t="n">
        <f aca="false">K41*K42</f>
        <v>-0</v>
      </c>
      <c r="L43" s="532" t="n">
        <f aca="false">L41*L42</f>
        <v>-0</v>
      </c>
      <c r="M43" s="532" t="n">
        <f aca="false">M41*M42</f>
        <v>-0</v>
      </c>
      <c r="N43" s="532" t="n">
        <f aca="false">N41*N42</f>
        <v>-0</v>
      </c>
      <c r="O43" s="532" t="n">
        <f aca="false">O41*O42</f>
        <v>-0</v>
      </c>
      <c r="P43" s="532" t="n">
        <f aca="false">P41*P42</f>
        <v>-0</v>
      </c>
      <c r="Q43" s="532" t="n">
        <f aca="false">Q41*Q42</f>
        <v>-0</v>
      </c>
      <c r="R43" s="532" t="n">
        <f aca="false">R41*R42</f>
        <v>-0</v>
      </c>
      <c r="S43" s="532" t="n">
        <f aca="false">S41*S42</f>
        <v>-0</v>
      </c>
      <c r="T43" s="532" t="n">
        <f aca="false">T41*T42</f>
        <v>-0</v>
      </c>
      <c r="U43" s="532" t="n">
        <f aca="false">U41*U42</f>
        <v>-0</v>
      </c>
      <c r="V43" s="532" t="n">
        <f aca="false">V41*V42</f>
        <v>-0</v>
      </c>
      <c r="W43" s="532" t="n">
        <f aca="false">W41*W42</f>
        <v>-0</v>
      </c>
      <c r="X43" s="532" t="n">
        <f aca="false">X41*X42</f>
        <v>-0</v>
      </c>
      <c r="Y43" s="532" t="n">
        <f aca="false">Y41*Y42</f>
        <v>-0</v>
      </c>
      <c r="Z43" s="532" t="n">
        <f aca="false">Z41*Z42</f>
        <v>-0</v>
      </c>
      <c r="AA43" s="533" t="n">
        <f aca="false">SUM(E43:Z43)</f>
        <v>181.454787364881</v>
      </c>
      <c r="AB43" s="39"/>
    </row>
    <row r="44" customFormat="false" ht="12.75" hidden="false" customHeight="false" outlineLevel="0" collapsed="false">
      <c r="A44" s="37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529"/>
      <c r="AB44" s="39"/>
    </row>
    <row r="45" customFormat="false" ht="12.75" hidden="false" customHeight="false" outlineLevel="0" collapsed="false">
      <c r="A45" s="363" t="s">
        <v>496</v>
      </c>
      <c r="B45" s="39"/>
      <c r="C45" s="39"/>
      <c r="D45" s="426"/>
      <c r="E45" s="426"/>
      <c r="F45" s="426"/>
      <c r="G45" s="426"/>
      <c r="H45" s="426"/>
      <c r="I45" s="426"/>
      <c r="J45" s="426"/>
      <c r="K45" s="426"/>
      <c r="L45" s="426"/>
      <c r="M45" s="426"/>
      <c r="N45" s="426"/>
      <c r="O45" s="426"/>
      <c r="P45" s="426"/>
      <c r="Q45" s="426"/>
      <c r="R45" s="426"/>
      <c r="S45" s="426"/>
      <c r="T45" s="426"/>
      <c r="U45" s="426"/>
      <c r="V45" s="426"/>
      <c r="W45" s="426"/>
      <c r="X45" s="426"/>
      <c r="Y45" s="426"/>
      <c r="Z45" s="426"/>
      <c r="AA45" s="529"/>
      <c r="AB45" s="39"/>
    </row>
    <row r="46" customFormat="false" ht="12.75" hidden="false" customHeight="false" outlineLevel="0" collapsed="false">
      <c r="A46" s="138"/>
      <c r="B46" s="39" t="s">
        <v>497</v>
      </c>
      <c r="C46" s="39"/>
      <c r="D46" s="105" t="s">
        <v>481</v>
      </c>
      <c r="E46" s="61" t="n">
        <f aca="false">-SUM(Returns!$D$52:D$53)</f>
        <v>-0</v>
      </c>
      <c r="F46" s="61" t="n">
        <f aca="false">-SUM(Returns!$D$52:E$53)</f>
        <v>-0</v>
      </c>
      <c r="G46" s="61" t="n">
        <f aca="false">-SUM(Returns!$D$52:F$53)</f>
        <v>13609.1090523661</v>
      </c>
      <c r="H46" s="61" t="n">
        <f aca="false">-SUM(Returns!$D$52:G$53)</f>
        <v>-0</v>
      </c>
      <c r="I46" s="61" t="n">
        <f aca="false">-SUM(Returns!$D$52:H$53)</f>
        <v>-0</v>
      </c>
      <c r="J46" s="61" t="n">
        <f aca="false">-SUM(Returns!$D$52:I$53)</f>
        <v>-0</v>
      </c>
      <c r="K46" s="61" t="n">
        <f aca="false">-SUM(Returns!$D$52:J$53)</f>
        <v>-0</v>
      </c>
      <c r="L46" s="61" t="n">
        <f aca="false">-SUM(Returns!$D$52:K$53)</f>
        <v>-0</v>
      </c>
      <c r="M46" s="61" t="n">
        <f aca="false">-SUM(Returns!$D$52:L$53)</f>
        <v>-0</v>
      </c>
      <c r="N46" s="61" t="n">
        <f aca="false">-SUM(Returns!$D$52:M$53)</f>
        <v>-0</v>
      </c>
      <c r="O46" s="61" t="n">
        <f aca="false">-SUM(Returns!$D$52:N$53)</f>
        <v>-0</v>
      </c>
      <c r="P46" s="61" t="n">
        <f aca="false">-SUM(Returns!$D$52:O$53)</f>
        <v>-0</v>
      </c>
      <c r="Q46" s="61" t="n">
        <f aca="false">-SUM(Returns!$D$52:P$53)</f>
        <v>-0</v>
      </c>
      <c r="R46" s="61" t="n">
        <f aca="false">-SUM(Returns!$D$52:Q$53)</f>
        <v>-0</v>
      </c>
      <c r="S46" s="61" t="n">
        <f aca="false">-SUM(Returns!$D$52:R$53)</f>
        <v>-0</v>
      </c>
      <c r="T46" s="61" t="n">
        <f aca="false">-SUM(Returns!$D$52:S$53)</f>
        <v>-0</v>
      </c>
      <c r="U46" s="61" t="n">
        <f aca="false">-SUM(Returns!$D$52:T$53)</f>
        <v>-0</v>
      </c>
      <c r="V46" s="61" t="n">
        <f aca="false">-SUM(Returns!$D$52:U$53)</f>
        <v>-0</v>
      </c>
      <c r="W46" s="61" t="n">
        <f aca="false">-SUM(Returns!$D$52:V$53)</f>
        <v>-0</v>
      </c>
      <c r="X46" s="61" t="n">
        <f aca="false">-SUM(Returns!$D$52:W$53)</f>
        <v>-0</v>
      </c>
      <c r="Y46" s="61" t="n">
        <f aca="false">-SUM(Returns!$D$52:X$53)</f>
        <v>-0</v>
      </c>
      <c r="Z46" s="61" t="n">
        <f aca="false">-SUM(Returns!$D$52:Y$53)</f>
        <v>-0</v>
      </c>
      <c r="AA46" s="529"/>
      <c r="AB46" s="39"/>
    </row>
    <row r="47" customFormat="false" ht="12.75" hidden="false" customHeight="false" outlineLevel="0" collapsed="false">
      <c r="A47" s="138"/>
      <c r="B47" s="39" t="s">
        <v>498</v>
      </c>
      <c r="C47" s="39"/>
      <c r="D47" s="105" t="s">
        <v>484</v>
      </c>
      <c r="E47" s="61" t="n">
        <f aca="false">-SUM(Returns!$E$52:E$53)</f>
        <v>-0</v>
      </c>
      <c r="F47" s="61" t="n">
        <f aca="false">-SUM(Returns!$E$52:F$53)</f>
        <v>13609.1090523661</v>
      </c>
      <c r="G47" s="61" t="n">
        <f aca="false">-SUM(Returns!$E$52:G$53)</f>
        <v>-0</v>
      </c>
      <c r="H47" s="61" t="n">
        <f aca="false">-SUM(Returns!$E$52:H$53)</f>
        <v>-0</v>
      </c>
      <c r="I47" s="61" t="n">
        <f aca="false">-SUM(Returns!$E$52:I$53)</f>
        <v>-0</v>
      </c>
      <c r="J47" s="61" t="n">
        <f aca="false">-SUM(Returns!$E$52:J$53)</f>
        <v>-0</v>
      </c>
      <c r="K47" s="61" t="n">
        <f aca="false">-SUM(Returns!$E$52:K$53)</f>
        <v>-0</v>
      </c>
      <c r="L47" s="61" t="n">
        <f aca="false">-SUM(Returns!$E$52:L$53)</f>
        <v>-0</v>
      </c>
      <c r="M47" s="61" t="n">
        <f aca="false">-SUM(Returns!$E$52:M$53)</f>
        <v>-0</v>
      </c>
      <c r="N47" s="61" t="n">
        <f aca="false">-SUM(Returns!$E$52:N$53)</f>
        <v>-0</v>
      </c>
      <c r="O47" s="61" t="n">
        <f aca="false">-SUM(Returns!$E$52:O$53)</f>
        <v>-0</v>
      </c>
      <c r="P47" s="61" t="n">
        <f aca="false">-SUM(Returns!$E$52:P$53)</f>
        <v>-0</v>
      </c>
      <c r="Q47" s="61" t="n">
        <f aca="false">-SUM(Returns!$E$52:Q$53)</f>
        <v>-0</v>
      </c>
      <c r="R47" s="61" t="n">
        <f aca="false">-SUM(Returns!$E$52:R$53)</f>
        <v>-0</v>
      </c>
      <c r="S47" s="61" t="n">
        <f aca="false">-SUM(Returns!$E$52:S$53)</f>
        <v>-0</v>
      </c>
      <c r="T47" s="61" t="n">
        <f aca="false">-SUM(Returns!$E$52:T$53)</f>
        <v>-0</v>
      </c>
      <c r="U47" s="61" t="n">
        <f aca="false">-SUM(Returns!$E$52:U$53)</f>
        <v>-0</v>
      </c>
      <c r="V47" s="61" t="n">
        <f aca="false">-SUM(Returns!$E$52:V$53)</f>
        <v>-0</v>
      </c>
      <c r="W47" s="61" t="n">
        <f aca="false">-SUM(Returns!$E$52:W$53)</f>
        <v>-0</v>
      </c>
      <c r="X47" s="61" t="n">
        <f aca="false">-SUM(Returns!$E$52:X$53)</f>
        <v>-0</v>
      </c>
      <c r="Y47" s="61" t="n">
        <f aca="false">-SUM(Returns!$E$52:Y$53)</f>
        <v>-0</v>
      </c>
      <c r="Z47" s="61" t="n">
        <f aca="false">-SUM(Returns!$E$52:Z$53)</f>
        <v>-0</v>
      </c>
      <c r="AA47" s="529"/>
      <c r="AB47" s="39"/>
    </row>
    <row r="48" customFormat="false" ht="12.75" hidden="false" customHeight="false" outlineLevel="0" collapsed="false">
      <c r="A48" s="138"/>
      <c r="B48" s="39"/>
      <c r="C48" s="39"/>
      <c r="D48" s="426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529"/>
      <c r="AB48" s="39"/>
    </row>
    <row r="49" customFormat="false" ht="12.75" hidden="false" customHeight="false" outlineLevel="0" collapsed="false">
      <c r="A49" s="138"/>
      <c r="B49" s="39" t="s">
        <v>485</v>
      </c>
      <c r="C49" s="39"/>
      <c r="D49" s="105" t="s">
        <v>486</v>
      </c>
      <c r="E49" s="61" t="n">
        <f aca="false">IF(MAX(E$35,E$36)&lt;0,0,MAX(E$35,E$36))</f>
        <v>-0</v>
      </c>
      <c r="F49" s="61" t="n">
        <f aca="false">IF(MAX(F$35,F$36)&lt;0,0,MAX(F$35,F$36))</f>
        <v>13609.1090523661</v>
      </c>
      <c r="G49" s="61" t="n">
        <f aca="false">IF(MAX(G$35,G$36)&lt;0,0,MAX(G$35,G$36))</f>
        <v>13609.1090523661</v>
      </c>
      <c r="H49" s="61" t="n">
        <f aca="false">IF(MAX(H$35,H$36)&lt;0,0,MAX(H$35,H$36))</f>
        <v>-0</v>
      </c>
      <c r="I49" s="61" t="n">
        <f aca="false">IF(MAX(I$35,I$36)&lt;0,0,MAX(I$35,I$36))</f>
        <v>-0</v>
      </c>
      <c r="J49" s="61" t="n">
        <f aca="false">IF(MAX(J$35,J$36)&lt;0,0,MAX(J$35,J$36))</f>
        <v>-0</v>
      </c>
      <c r="K49" s="61" t="n">
        <f aca="false">IF(MAX(K$35,K$36)&lt;0,0,MAX(K$35,K$36))</f>
        <v>-0</v>
      </c>
      <c r="L49" s="61" t="n">
        <f aca="false">IF(MAX(L$35,L$36)&lt;0,0,MAX(L$35,L$36))</f>
        <v>-0</v>
      </c>
      <c r="M49" s="61" t="n">
        <f aca="false">IF(MAX(M$35,M$36)&lt;0,0,MAX(M$35,M$36))</f>
        <v>-0</v>
      </c>
      <c r="N49" s="61" t="n">
        <f aca="false">IF(MAX(N$35,N$36)&lt;0,0,MAX(N$35,N$36))</f>
        <v>-0</v>
      </c>
      <c r="O49" s="61" t="n">
        <f aca="false">IF(MAX(O$35,O$36)&lt;0,0,MAX(O$35,O$36))</f>
        <v>-0</v>
      </c>
      <c r="P49" s="61" t="n">
        <f aca="false">IF(MAX(P$35,P$36)&lt;0,0,MAX(P$35,P$36))</f>
        <v>-0</v>
      </c>
      <c r="Q49" s="61" t="n">
        <f aca="false">IF(MAX(Q$35,Q$36)&lt;0,0,MAX(Q$35,Q$36))</f>
        <v>-0</v>
      </c>
      <c r="R49" s="61" t="n">
        <f aca="false">IF(MAX(R$35,R$36)&lt;0,0,MAX(R$35,R$36))</f>
        <v>-0</v>
      </c>
      <c r="S49" s="61" t="n">
        <f aca="false">IF(MAX(S$35,S$36)&lt;0,0,MAX(S$35,S$36))</f>
        <v>-0</v>
      </c>
      <c r="T49" s="61" t="n">
        <f aca="false">IF(MAX(T$35,T$36)&lt;0,0,MAX(T$35,T$36))</f>
        <v>-0</v>
      </c>
      <c r="U49" s="61" t="n">
        <f aca="false">IF(MAX(U$35,U$36)&lt;0,0,MAX(U$35,U$36))</f>
        <v>-0</v>
      </c>
      <c r="V49" s="61" t="n">
        <f aca="false">IF(MAX(V$35,V$36)&lt;0,0,MAX(V$35,V$36))</f>
        <v>-0</v>
      </c>
      <c r="W49" s="61" t="n">
        <f aca="false">IF(MAX(W$35,W$36)&lt;0,0,MAX(W$35,W$36))</f>
        <v>-0</v>
      </c>
      <c r="X49" s="61" t="n">
        <f aca="false">IF(MAX(X$35,X$36)&lt;0,0,MAX(X$35,X$36))</f>
        <v>-0</v>
      </c>
      <c r="Y49" s="61" t="n">
        <f aca="false">IF(MAX(Y$35,Y$36)&lt;0,0,MAX(Y$35,Y$36))</f>
        <v>-0</v>
      </c>
      <c r="Z49" s="61" t="n">
        <f aca="false">IF(MAX(Z$35,Z$36)&lt;0,0,MAX(Z$35,Z$36))</f>
        <v>-0</v>
      </c>
      <c r="AA49" s="529"/>
      <c r="AB49" s="39"/>
    </row>
    <row r="50" customFormat="false" ht="12.75" hidden="false" customHeight="false" outlineLevel="0" collapsed="false">
      <c r="A50" s="138"/>
      <c r="B50" s="39" t="s">
        <v>487</v>
      </c>
      <c r="C50" s="39"/>
      <c r="D50" s="105" t="s">
        <v>488</v>
      </c>
      <c r="E50" s="61" t="n">
        <f aca="false">IF(MIN(E$35,E$36)&lt;0,0,MIN(E$35,E$36))</f>
        <v>-0</v>
      </c>
      <c r="F50" s="61" t="n">
        <f aca="false">IF(MIN(F$35,F$36)&lt;0,0,MIN(F$35,F$36))</f>
        <v>-0</v>
      </c>
      <c r="G50" s="61" t="n">
        <f aca="false">IF(MIN(G$35,G$36)&lt;0,0,MIN(G$35,G$36))</f>
        <v>-0</v>
      </c>
      <c r="H50" s="61" t="n">
        <f aca="false">IF(MIN(H$35,H$36)&lt;0,0,MIN(H$35,H$36))</f>
        <v>-0</v>
      </c>
      <c r="I50" s="61" t="n">
        <f aca="false">IF(MIN(I$35,I$36)&lt;0,0,MIN(I$35,I$36))</f>
        <v>-0</v>
      </c>
      <c r="J50" s="61" t="n">
        <f aca="false">IF(MIN(J$35,J$36)&lt;0,0,MIN(J$35,J$36))</f>
        <v>-0</v>
      </c>
      <c r="K50" s="61" t="n">
        <f aca="false">IF(MIN(K$35,K$36)&lt;0,0,MIN(K$35,K$36))</f>
        <v>-0</v>
      </c>
      <c r="L50" s="61" t="n">
        <f aca="false">IF(MIN(L$35,L$36)&lt;0,0,MIN(L$35,L$36))</f>
        <v>-0</v>
      </c>
      <c r="M50" s="61" t="n">
        <f aca="false">IF(MIN(M$35,M$36)&lt;0,0,MIN(M$35,M$36))</f>
        <v>-0</v>
      </c>
      <c r="N50" s="61" t="n">
        <f aca="false">IF(MIN(N$35,N$36)&lt;0,0,MIN(N$35,N$36))</f>
        <v>-0</v>
      </c>
      <c r="O50" s="61" t="n">
        <f aca="false">IF(MIN(O$35,O$36)&lt;0,0,MIN(O$35,O$36))</f>
        <v>-0</v>
      </c>
      <c r="P50" s="61" t="n">
        <f aca="false">IF(MIN(P$35,P$36)&lt;0,0,MIN(P$35,P$36))</f>
        <v>-0</v>
      </c>
      <c r="Q50" s="61" t="n">
        <f aca="false">IF(MIN(Q$35,Q$36)&lt;0,0,MIN(Q$35,Q$36))</f>
        <v>-0</v>
      </c>
      <c r="R50" s="61" t="n">
        <f aca="false">IF(MIN(R$35,R$36)&lt;0,0,MIN(R$35,R$36))</f>
        <v>-0</v>
      </c>
      <c r="S50" s="61" t="n">
        <f aca="false">IF(MIN(S$35,S$36)&lt;0,0,MIN(S$35,S$36))</f>
        <v>-0</v>
      </c>
      <c r="T50" s="61" t="n">
        <f aca="false">IF(MIN(T$35,T$36)&lt;0,0,MIN(T$35,T$36))</f>
        <v>-0</v>
      </c>
      <c r="U50" s="61" t="n">
        <f aca="false">IF(MIN(U$35,U$36)&lt;0,0,MIN(U$35,U$36))</f>
        <v>-0</v>
      </c>
      <c r="V50" s="61" t="n">
        <f aca="false">IF(MIN(V$35,V$36)&lt;0,0,MIN(V$35,V$36))</f>
        <v>-0</v>
      </c>
      <c r="W50" s="61" t="n">
        <f aca="false">IF(MIN(W$35,W$36)&lt;0,0,MIN(W$35,W$36))</f>
        <v>-0</v>
      </c>
      <c r="X50" s="61" t="n">
        <f aca="false">IF(MIN(X$35,X$36)&lt;0,0,MIN(X$35,X$36))</f>
        <v>-0</v>
      </c>
      <c r="Y50" s="61" t="n">
        <f aca="false">IF(MIN(Y$35,Y$36)&lt;0,0,MIN(Y$35,Y$36))</f>
        <v>-0</v>
      </c>
      <c r="Z50" s="61" t="n">
        <f aca="false">IF(MIN(Z$35,Z$36)&lt;0,0,MIN(Z$35,Z$36))</f>
        <v>-0</v>
      </c>
      <c r="AA50" s="529"/>
      <c r="AB50" s="39"/>
    </row>
    <row r="51" customFormat="false" ht="12.75" hidden="false" customHeight="false" outlineLevel="0" collapsed="false">
      <c r="A51" s="37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529"/>
      <c r="AB51" s="39"/>
    </row>
    <row r="52" customFormat="false" ht="12.75" hidden="false" customHeight="false" outlineLevel="0" collapsed="false">
      <c r="A52" s="138"/>
      <c r="B52" s="39" t="s">
        <v>489</v>
      </c>
      <c r="C52" s="39"/>
      <c r="D52" s="426"/>
      <c r="E52" s="61" t="n">
        <f aca="false">((E49*2)+E50)/3</f>
        <v>-0</v>
      </c>
      <c r="F52" s="61" t="n">
        <f aca="false">((F49*2)+F50)/3</f>
        <v>9072.73936824407</v>
      </c>
      <c r="G52" s="61" t="n">
        <f aca="false">((G49*2)+G50)/3</f>
        <v>9072.73936824407</v>
      </c>
      <c r="H52" s="61" t="n">
        <f aca="false">((H49*2)+H50)/3</f>
        <v>-0</v>
      </c>
      <c r="I52" s="61" t="n">
        <f aca="false">((I49*2)+I50)/3</f>
        <v>-0</v>
      </c>
      <c r="J52" s="61" t="n">
        <f aca="false">((J49*2)+J50)/3</f>
        <v>-0</v>
      </c>
      <c r="K52" s="61" t="n">
        <f aca="false">((K49*2)+K50)/3</f>
        <v>-0</v>
      </c>
      <c r="L52" s="61" t="n">
        <f aca="false">((L49*2)+L50)/3</f>
        <v>-0</v>
      </c>
      <c r="M52" s="61" t="n">
        <f aca="false">((M49*2)+M50)/3</f>
        <v>-0</v>
      </c>
      <c r="N52" s="61" t="n">
        <f aca="false">((N49*2)+N50)/3</f>
        <v>-0</v>
      </c>
      <c r="O52" s="61" t="n">
        <f aca="false">((O49*2)+O50)/3</f>
        <v>-0</v>
      </c>
      <c r="P52" s="61" t="n">
        <f aca="false">((P49*2)+P50)/3</f>
        <v>-0</v>
      </c>
      <c r="Q52" s="61" t="n">
        <f aca="false">((Q49*2)+Q50)/3</f>
        <v>-0</v>
      </c>
      <c r="R52" s="61" t="n">
        <f aca="false">((R49*2)+R50)/3</f>
        <v>-0</v>
      </c>
      <c r="S52" s="61" t="n">
        <f aca="false">((S49*2)+S50)/3</f>
        <v>-0</v>
      </c>
      <c r="T52" s="61" t="n">
        <f aca="false">((T49*2)+T50)/3</f>
        <v>-0</v>
      </c>
      <c r="U52" s="61" t="n">
        <f aca="false">((U49*2)+U50)/3</f>
        <v>-0</v>
      </c>
      <c r="V52" s="61" t="n">
        <f aca="false">((V49*2)+V50)/3</f>
        <v>-0</v>
      </c>
      <c r="W52" s="61" t="n">
        <f aca="false">((W49*2)+W50)/3</f>
        <v>-0</v>
      </c>
      <c r="X52" s="61" t="n">
        <f aca="false">((X49*2)+X50)/3</f>
        <v>-0</v>
      </c>
      <c r="Y52" s="61" t="n">
        <f aca="false">((Y49*2)+Y50)/3</f>
        <v>-0</v>
      </c>
      <c r="Z52" s="61" t="n">
        <f aca="false">((Z49*2)+Z50)/3</f>
        <v>-0</v>
      </c>
      <c r="AA52" s="529"/>
      <c r="AB52" s="39"/>
    </row>
    <row r="53" customFormat="false" ht="12.75" hidden="false" customHeight="false" outlineLevel="0" collapsed="false">
      <c r="A53" s="138"/>
      <c r="B53" s="39" t="s">
        <v>490</v>
      </c>
      <c r="C53" s="458" t="n">
        <f aca="false">Opic</f>
        <v>0.01</v>
      </c>
      <c r="D53" s="426"/>
      <c r="E53" s="535" t="n">
        <f aca="false">$C53</f>
        <v>0.01</v>
      </c>
      <c r="F53" s="535" t="n">
        <f aca="false">$C53</f>
        <v>0.01</v>
      </c>
      <c r="G53" s="535" t="n">
        <f aca="false">$C53</f>
        <v>0.01</v>
      </c>
      <c r="H53" s="535" t="n">
        <f aca="false">$C53</f>
        <v>0.01</v>
      </c>
      <c r="I53" s="535" t="n">
        <f aca="false">$C53</f>
        <v>0.01</v>
      </c>
      <c r="J53" s="535" t="n">
        <f aca="false">$C53</f>
        <v>0.01</v>
      </c>
      <c r="K53" s="535" t="n">
        <f aca="false">$C53</f>
        <v>0.01</v>
      </c>
      <c r="L53" s="535" t="n">
        <f aca="false">$C53</f>
        <v>0.01</v>
      </c>
      <c r="M53" s="535" t="n">
        <f aca="false">$C53</f>
        <v>0.01</v>
      </c>
      <c r="N53" s="535" t="n">
        <f aca="false">$C53</f>
        <v>0.01</v>
      </c>
      <c r="O53" s="535" t="n">
        <f aca="false">$C53</f>
        <v>0.01</v>
      </c>
      <c r="P53" s="535" t="n">
        <f aca="false">$C53</f>
        <v>0.01</v>
      </c>
      <c r="Q53" s="535" t="n">
        <f aca="false">$C53</f>
        <v>0.01</v>
      </c>
      <c r="R53" s="535" t="n">
        <f aca="false">$C53</f>
        <v>0.01</v>
      </c>
      <c r="S53" s="535" t="n">
        <f aca="false">$C53</f>
        <v>0.01</v>
      </c>
      <c r="T53" s="535" t="n">
        <f aca="false">$C53</f>
        <v>0.01</v>
      </c>
      <c r="U53" s="535" t="n">
        <f aca="false">$C53</f>
        <v>0.01</v>
      </c>
      <c r="V53" s="535" t="n">
        <f aca="false">$C53</f>
        <v>0.01</v>
      </c>
      <c r="W53" s="535" t="n">
        <f aca="false">$C53</f>
        <v>0.01</v>
      </c>
      <c r="X53" s="535" t="n">
        <f aca="false">$C53</f>
        <v>0.01</v>
      </c>
      <c r="Y53" s="535" t="n">
        <f aca="false">$C53</f>
        <v>0.01</v>
      </c>
      <c r="Z53" s="535" t="n">
        <f aca="false">$C53</f>
        <v>0.01</v>
      </c>
      <c r="AA53" s="529"/>
      <c r="AB53" s="39"/>
    </row>
    <row r="54" customFormat="false" ht="12.75" hidden="false" customHeight="false" outlineLevel="0" collapsed="false">
      <c r="A54" s="420"/>
      <c r="B54" s="466" t="s">
        <v>499</v>
      </c>
      <c r="C54" s="466"/>
      <c r="D54" s="423"/>
      <c r="E54" s="532" t="n">
        <f aca="false">E52*E53</f>
        <v>-0</v>
      </c>
      <c r="F54" s="532" t="n">
        <f aca="false">F52*F53</f>
        <v>90.7273936824407</v>
      </c>
      <c r="G54" s="532" t="n">
        <f aca="false">G52*G53</f>
        <v>90.7273936824407</v>
      </c>
      <c r="H54" s="532" t="n">
        <f aca="false">H52*H53</f>
        <v>-0</v>
      </c>
      <c r="I54" s="532" t="n">
        <f aca="false">I52*I53</f>
        <v>-0</v>
      </c>
      <c r="J54" s="532" t="n">
        <f aca="false">J52*J53</f>
        <v>-0</v>
      </c>
      <c r="K54" s="532" t="n">
        <f aca="false">K52*K53</f>
        <v>-0</v>
      </c>
      <c r="L54" s="532" t="n">
        <f aca="false">L52*L53</f>
        <v>-0</v>
      </c>
      <c r="M54" s="532" t="n">
        <f aca="false">M52*M53</f>
        <v>-0</v>
      </c>
      <c r="N54" s="532" t="n">
        <f aca="false">N52*N53</f>
        <v>-0</v>
      </c>
      <c r="O54" s="532" t="n">
        <f aca="false">O52*O53</f>
        <v>-0</v>
      </c>
      <c r="P54" s="532" t="n">
        <f aca="false">P52*P53</f>
        <v>-0</v>
      </c>
      <c r="Q54" s="532" t="n">
        <f aca="false">Q52*Q53</f>
        <v>-0</v>
      </c>
      <c r="R54" s="532" t="n">
        <f aca="false">R52*R53</f>
        <v>-0</v>
      </c>
      <c r="S54" s="532" t="n">
        <f aca="false">S52*S53</f>
        <v>-0</v>
      </c>
      <c r="T54" s="532" t="n">
        <f aca="false">T52*T53</f>
        <v>-0</v>
      </c>
      <c r="U54" s="532" t="n">
        <f aca="false">U52*U53</f>
        <v>-0</v>
      </c>
      <c r="V54" s="532" t="n">
        <f aca="false">V52*V53</f>
        <v>-0</v>
      </c>
      <c r="W54" s="532" t="n">
        <f aca="false">W52*W53</f>
        <v>-0</v>
      </c>
      <c r="X54" s="532" t="n">
        <f aca="false">X52*X53</f>
        <v>-0</v>
      </c>
      <c r="Y54" s="532" t="n">
        <f aca="false">Y52*Y53</f>
        <v>-0</v>
      </c>
      <c r="Z54" s="532" t="n">
        <f aca="false">Z52*Z53</f>
        <v>-0</v>
      </c>
      <c r="AA54" s="533" t="n">
        <f aca="false">SUM(E54:Z54)</f>
        <v>181.454787364881</v>
      </c>
      <c r="AB54" s="39"/>
    </row>
    <row r="55" customFormat="false" ht="12.75" hidden="false" customHeight="false" outlineLevel="0" collapsed="false">
      <c r="A55" s="420"/>
      <c r="B55" s="466"/>
      <c r="C55" s="466"/>
      <c r="D55" s="423"/>
      <c r="E55" s="532"/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3"/>
      <c r="AB55" s="39"/>
    </row>
    <row r="56" customFormat="false" ht="12.75" hidden="false" customHeight="false" outlineLevel="0" collapsed="false">
      <c r="A56" s="37"/>
      <c r="B56" s="39"/>
      <c r="C56" s="39"/>
      <c r="D56" s="39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526"/>
    </row>
    <row r="57" customFormat="false" ht="12.75" hidden="false" customHeight="false" outlineLevel="0" collapsed="false">
      <c r="A57" s="363" t="s">
        <v>500</v>
      </c>
      <c r="B57" s="39"/>
      <c r="C57" s="39"/>
      <c r="D57" s="39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526"/>
    </row>
    <row r="58" customFormat="false" ht="12.75" hidden="false" customHeight="false" outlineLevel="0" collapsed="false">
      <c r="A58" s="37"/>
      <c r="B58" s="39" t="s">
        <v>344</v>
      </c>
      <c r="C58" s="39"/>
      <c r="D58" s="39"/>
      <c r="E58" s="314"/>
      <c r="F58" s="314"/>
      <c r="G58" s="61" t="n">
        <f aca="false">CF!E$43</f>
        <v>0</v>
      </c>
      <c r="H58" s="61" t="n">
        <f aca="false">CF!F$43</f>
        <v>0</v>
      </c>
      <c r="I58" s="61" t="n">
        <f aca="false">CF!G$43</f>
        <v>5065.69806652947</v>
      </c>
      <c r="J58" s="61" t="n">
        <f aca="false">CF!H$43</f>
        <v>8103.02736870335</v>
      </c>
      <c r="K58" s="61" t="n">
        <f aca="false">CF!I$43</f>
        <v>7652.96520800094</v>
      </c>
      <c r="L58" s="61" t="n">
        <f aca="false">CF!J$43</f>
        <v>12076.0963752407</v>
      </c>
      <c r="M58" s="61" t="n">
        <f aca="false">CF!K$43</f>
        <v>12539.6692530351</v>
      </c>
      <c r="N58" s="61" t="n">
        <f aca="false">CF!L$43</f>
        <v>12569.1594367273</v>
      </c>
      <c r="O58" s="61" t="n">
        <f aca="false">CF!M$43</f>
        <v>12751.9606758467</v>
      </c>
      <c r="P58" s="61" t="n">
        <f aca="false">CF!N$43</f>
        <v>12715.0533450063</v>
      </c>
      <c r="Q58" s="61" t="n">
        <f aca="false">CF!O$43</f>
        <v>13083.3381152017</v>
      </c>
      <c r="R58" s="61" t="n">
        <f aca="false">CF!P$43</f>
        <v>13341.8334294997</v>
      </c>
      <c r="S58" s="61" t="n">
        <f aca="false">CF!Q$43</f>
        <v>13880.4196620209</v>
      </c>
      <c r="T58" s="61" t="n">
        <f aca="false">CF!R$43</f>
        <v>14371.6797688588</v>
      </c>
      <c r="U58" s="61" t="n">
        <f aca="false">CF!S$43</f>
        <v>13501.5871785154</v>
      </c>
      <c r="V58" s="61" t="n">
        <f aca="false">CF!T$43</f>
        <v>15264.8177623756</v>
      </c>
      <c r="W58" s="61" t="n">
        <f aca="false">CF!U$43</f>
        <v>16100.3956245364</v>
      </c>
      <c r="X58" s="61" t="n">
        <f aca="false">CF!V$43</f>
        <v>17025.9498931628</v>
      </c>
      <c r="Y58" s="61" t="n">
        <f aca="false">CF!W$43</f>
        <v>18121.4469657984</v>
      </c>
      <c r="Z58" s="61" t="n">
        <f aca="false">CF!X$43</f>
        <v>19091.4211967255</v>
      </c>
      <c r="AA58" s="536"/>
      <c r="AB58" s="314"/>
      <c r="AC58" s="314"/>
      <c r="AD58" s="314"/>
      <c r="AE58" s="314"/>
      <c r="AF58" s="314"/>
      <c r="AG58" s="314"/>
      <c r="AH58" s="314"/>
      <c r="AI58" s="314"/>
      <c r="AJ58" s="314"/>
      <c r="AK58" s="314"/>
      <c r="AL58" s="314"/>
      <c r="AM58" s="314"/>
      <c r="AN58" s="314"/>
      <c r="AO58" s="314"/>
      <c r="AP58" s="314"/>
      <c r="AQ58" s="314"/>
      <c r="AR58" s="314"/>
      <c r="AS58" s="314"/>
      <c r="AT58" s="314"/>
      <c r="AU58" s="314"/>
      <c r="AV58" s="314"/>
      <c r="AW58" s="314"/>
      <c r="AX58" s="314"/>
      <c r="AY58" s="314"/>
      <c r="AZ58" s="314"/>
      <c r="BA58" s="314"/>
      <c r="BB58" s="314"/>
      <c r="BC58" s="314"/>
      <c r="BD58" s="314"/>
      <c r="BE58" s="314"/>
      <c r="BF58" s="314"/>
      <c r="BG58" s="314"/>
      <c r="BH58" s="314"/>
      <c r="BI58" s="314"/>
      <c r="BJ58" s="314"/>
      <c r="BK58" s="314"/>
      <c r="BL58" s="314"/>
      <c r="BM58" s="314"/>
      <c r="BN58" s="314"/>
      <c r="BO58" s="314"/>
      <c r="BP58" s="314"/>
      <c r="BQ58" s="314"/>
      <c r="BR58" s="314"/>
      <c r="BS58" s="314"/>
      <c r="BT58" s="314"/>
      <c r="BU58" s="314"/>
      <c r="BV58" s="314"/>
      <c r="BW58" s="314"/>
      <c r="BX58" s="314"/>
      <c r="BY58" s="314"/>
      <c r="BZ58" s="314"/>
      <c r="CA58" s="314"/>
      <c r="CB58" s="314"/>
      <c r="CC58" s="314"/>
      <c r="CD58" s="314"/>
      <c r="CE58" s="314"/>
      <c r="CF58" s="314"/>
      <c r="CG58" s="314"/>
      <c r="CH58" s="314"/>
      <c r="CI58" s="314"/>
      <c r="CJ58" s="314"/>
      <c r="CK58" s="314"/>
      <c r="CL58" s="314"/>
      <c r="CM58" s="314"/>
      <c r="CN58" s="314"/>
      <c r="CO58" s="314"/>
      <c r="CP58" s="314"/>
      <c r="CQ58" s="314"/>
      <c r="CR58" s="314"/>
      <c r="CS58" s="314"/>
      <c r="CT58" s="314"/>
      <c r="CU58" s="314"/>
      <c r="CV58" s="314"/>
      <c r="CW58" s="314"/>
      <c r="CX58" s="314"/>
      <c r="CY58" s="314"/>
      <c r="CZ58" s="314"/>
      <c r="DA58" s="314"/>
      <c r="DB58" s="314"/>
      <c r="DC58" s="314"/>
      <c r="DD58" s="314"/>
      <c r="DE58" s="314"/>
      <c r="DF58" s="314"/>
      <c r="DG58" s="314"/>
      <c r="DH58" s="314"/>
      <c r="DI58" s="314"/>
      <c r="DJ58" s="314"/>
      <c r="DK58" s="314"/>
      <c r="DL58" s="314"/>
      <c r="DM58" s="314"/>
      <c r="DN58" s="314"/>
      <c r="DO58" s="314"/>
      <c r="DP58" s="314"/>
      <c r="DQ58" s="314"/>
      <c r="DR58" s="314"/>
      <c r="DS58" s="314"/>
      <c r="DT58" s="314"/>
      <c r="DU58" s="314"/>
      <c r="DV58" s="314"/>
      <c r="DW58" s="314"/>
      <c r="DX58" s="314"/>
      <c r="DY58" s="314"/>
      <c r="DZ58" s="314"/>
      <c r="EA58" s="314"/>
      <c r="EB58" s="314"/>
      <c r="EC58" s="314"/>
      <c r="ED58" s="314"/>
      <c r="EE58" s="314"/>
      <c r="EF58" s="314"/>
      <c r="EG58" s="314"/>
      <c r="EH58" s="314"/>
      <c r="EI58" s="314"/>
      <c r="EJ58" s="314"/>
      <c r="EK58" s="314"/>
      <c r="EL58" s="314"/>
      <c r="EM58" s="314"/>
      <c r="EN58" s="314"/>
      <c r="EO58" s="314"/>
      <c r="EP58" s="314"/>
      <c r="EQ58" s="314"/>
      <c r="ER58" s="314"/>
      <c r="ES58" s="314"/>
      <c r="ET58" s="314"/>
      <c r="EU58" s="314"/>
      <c r="EV58" s="314"/>
      <c r="EW58" s="314"/>
      <c r="EX58" s="314"/>
      <c r="EY58" s="314"/>
      <c r="EZ58" s="314"/>
      <c r="FA58" s="314"/>
      <c r="FB58" s="314"/>
      <c r="FC58" s="314"/>
      <c r="FD58" s="314"/>
      <c r="FE58" s="314"/>
      <c r="FF58" s="314"/>
      <c r="FG58" s="314"/>
      <c r="FH58" s="314"/>
      <c r="FI58" s="314"/>
      <c r="FJ58" s="314"/>
      <c r="FK58" s="314"/>
      <c r="FL58" s="314"/>
      <c r="FM58" s="314"/>
      <c r="FN58" s="314"/>
      <c r="FO58" s="314"/>
      <c r="FP58" s="314"/>
      <c r="FQ58" s="314"/>
      <c r="FR58" s="314"/>
      <c r="FS58" s="314"/>
      <c r="FT58" s="314"/>
      <c r="FU58" s="314"/>
      <c r="FV58" s="314"/>
      <c r="FW58" s="314"/>
      <c r="FX58" s="314"/>
      <c r="FY58" s="314"/>
      <c r="FZ58" s="314"/>
      <c r="GA58" s="314"/>
      <c r="GB58" s="314"/>
      <c r="GC58" s="314"/>
      <c r="GD58" s="314"/>
      <c r="GE58" s="314"/>
      <c r="GF58" s="314"/>
      <c r="GG58" s="314"/>
      <c r="GH58" s="314"/>
      <c r="GI58" s="314"/>
      <c r="GJ58" s="314"/>
      <c r="GK58" s="314"/>
      <c r="GL58" s="314"/>
      <c r="GM58" s="314"/>
      <c r="GN58" s="314"/>
      <c r="GO58" s="314"/>
      <c r="GP58" s="314"/>
      <c r="GQ58" s="314"/>
      <c r="GR58" s="314"/>
      <c r="GS58" s="314"/>
      <c r="GT58" s="314"/>
      <c r="GU58" s="314"/>
      <c r="GV58" s="314"/>
      <c r="GW58" s="314"/>
      <c r="GX58" s="314"/>
      <c r="GY58" s="314"/>
      <c r="GZ58" s="314"/>
      <c r="HA58" s="314"/>
      <c r="HB58" s="314"/>
      <c r="HC58" s="314"/>
      <c r="HD58" s="314"/>
      <c r="HE58" s="314"/>
      <c r="HF58" s="314"/>
      <c r="HG58" s="314"/>
      <c r="HH58" s="314"/>
      <c r="HI58" s="314"/>
      <c r="HJ58" s="314"/>
      <c r="HK58" s="314"/>
      <c r="HL58" s="314"/>
      <c r="HM58" s="314"/>
      <c r="HN58" s="314"/>
      <c r="HO58" s="314"/>
      <c r="HP58" s="314"/>
      <c r="HQ58" s="314"/>
      <c r="HR58" s="314"/>
      <c r="HS58" s="314"/>
      <c r="HT58" s="314"/>
      <c r="HU58" s="314"/>
      <c r="HV58" s="314"/>
      <c r="HW58" s="314"/>
      <c r="HX58" s="314"/>
      <c r="HY58" s="314"/>
      <c r="HZ58" s="314"/>
      <c r="IA58" s="314"/>
      <c r="IB58" s="314"/>
      <c r="IC58" s="314"/>
      <c r="ID58" s="314"/>
      <c r="IE58" s="314"/>
      <c r="IF58" s="314"/>
      <c r="IG58" s="314"/>
      <c r="IH58" s="314"/>
      <c r="II58" s="314"/>
      <c r="IJ58" s="314"/>
      <c r="IK58" s="314"/>
      <c r="IL58" s="314"/>
      <c r="IM58" s="314"/>
      <c r="IN58" s="314"/>
      <c r="IO58" s="314"/>
      <c r="IP58" s="314"/>
      <c r="IQ58" s="314"/>
      <c r="IR58" s="314"/>
      <c r="IS58" s="314"/>
      <c r="IT58" s="314"/>
      <c r="IU58" s="314"/>
      <c r="IV58" s="314"/>
      <c r="IW58" s="314"/>
    </row>
    <row r="59" customFormat="false" ht="12.75" hidden="false" customHeight="false" outlineLevel="0" collapsed="false">
      <c r="A59" s="37"/>
      <c r="B59" s="39" t="s">
        <v>501</v>
      </c>
      <c r="C59" s="39"/>
      <c r="D59" s="39"/>
      <c r="E59" s="314"/>
      <c r="F59" s="314"/>
      <c r="G59" s="306" t="n">
        <f aca="false">IF(CF!E$6&gt;Assm!$X$72,0,'Debt Amort'!E$14)</f>
        <v>0</v>
      </c>
      <c r="H59" s="306" t="n">
        <f aca="false">IF(CF!F$6&gt;Assm!$X$72,0,'Debt Amort'!F$14)</f>
        <v>0</v>
      </c>
      <c r="I59" s="306" t="n">
        <f aca="false">IF(CF!G$6&gt;Assm!$X$72,0,'Debt Amort'!G$14)</f>
        <v>3484.30006534666</v>
      </c>
      <c r="J59" s="306" t="n">
        <f aca="false">IF(CF!H$6&gt;Assm!$X$72,0,'Debt Amort'!H$14)</f>
        <v>9469.87800629031</v>
      </c>
      <c r="K59" s="306" t="n">
        <f aca="false">IF(CF!I$6&gt;Assm!$X$72,0,'Debt Amort'!I$14)</f>
        <v>10114.6503933608</v>
      </c>
      <c r="L59" s="306" t="n">
        <f aca="false">IF(CF!J$6&gt;Assm!$X$72,0,'Debt Amort'!J$14)</f>
        <v>13298.8427843065</v>
      </c>
      <c r="M59" s="306" t="n">
        <f aca="false">IF(CF!K$6&gt;Assm!$X$72,0,'Debt Amort'!K$14)</f>
        <v>14132.6179565651</v>
      </c>
      <c r="N59" s="306" t="n">
        <f aca="false">IF(CF!L$6&gt;Assm!$X$72,0,'Debt Amort'!L$14)</f>
        <v>14270.3168420179</v>
      </c>
      <c r="O59" s="306" t="n">
        <f aca="false">IF(CF!M$6&gt;Assm!$X$72,0,'Debt Amort'!M$14)</f>
        <v>13949.4119946723</v>
      </c>
      <c r="P59" s="306" t="n">
        <f aca="false">IF(CF!N$6&gt;Assm!$X$72,0,'Debt Amort'!N$14)</f>
        <v>11007.7716717286</v>
      </c>
      <c r="Q59" s="306" t="n">
        <f aca="false">IF(CF!O$6&gt;Assm!$X$72,0,'Debt Amort'!O$14)</f>
        <v>8399.78792304251</v>
      </c>
      <c r="R59" s="306" t="n">
        <f aca="false">IF(CF!P$6&gt;Assm!$X$72,0,'Debt Amort'!P$14)</f>
        <v>7922.8887865556</v>
      </c>
      <c r="S59" s="306" t="n">
        <f aca="false">IF(CF!Q$6&gt;Assm!$X$72,0,'Debt Amort'!Q$14)</f>
        <v>8455.92252712535</v>
      </c>
      <c r="T59" s="306" t="n">
        <f aca="false">IF(CF!R$6&gt;Assm!$X$72,0,'Debt Amort'!R$14)</f>
        <v>8822.12798056631</v>
      </c>
      <c r="U59" s="306" t="n">
        <f aca="false">IF(CF!S$6&gt;Assm!$X$72,0,'Debt Amort'!S$14)</f>
        <v>8122.79112790767</v>
      </c>
      <c r="V59" s="306" t="n">
        <f aca="false">IF(CF!T$6&gt;Assm!$X$72,0,'Debt Amort'!T$14)</f>
        <v>7651.25868360767</v>
      </c>
      <c r="W59" s="306" t="n">
        <f aca="false">IF(CF!U$6&gt;Assm!$X$72,0,'Debt Amort'!U$14)</f>
        <v>5080.13430968427</v>
      </c>
      <c r="X59" s="306" t="n">
        <f aca="false">IF(CF!V$6&gt;Assm!$X$72,0,'Debt Amort'!V$14)</f>
        <v>0</v>
      </c>
      <c r="Y59" s="306" t="n">
        <f aca="false">IF(CF!W$6&gt;Assm!$X$72,0,'Debt Amort'!W$14)</f>
        <v>0</v>
      </c>
      <c r="Z59" s="306" t="n">
        <f aca="false">IF(CF!X$6&gt;Assm!$X$72,0,'Debt Amort'!X$14)</f>
        <v>0</v>
      </c>
      <c r="AA59" s="536"/>
      <c r="AB59" s="314"/>
      <c r="AC59" s="314"/>
      <c r="AD59" s="314"/>
      <c r="AE59" s="314"/>
      <c r="AF59" s="314"/>
      <c r="AG59" s="314"/>
      <c r="AH59" s="314"/>
      <c r="AI59" s="314"/>
      <c r="AJ59" s="314"/>
      <c r="AK59" s="314"/>
      <c r="AL59" s="314"/>
      <c r="AM59" s="314"/>
      <c r="AN59" s="314"/>
      <c r="AO59" s="314"/>
      <c r="AP59" s="314"/>
      <c r="AQ59" s="314"/>
      <c r="AR59" s="314"/>
      <c r="AS59" s="314"/>
      <c r="AT59" s="314"/>
      <c r="AU59" s="314"/>
      <c r="AV59" s="314"/>
      <c r="AW59" s="314"/>
      <c r="AX59" s="314"/>
      <c r="AY59" s="314"/>
      <c r="AZ59" s="314"/>
      <c r="BA59" s="314"/>
      <c r="BB59" s="314"/>
      <c r="BC59" s="314"/>
      <c r="BD59" s="314"/>
      <c r="BE59" s="314"/>
      <c r="BF59" s="314"/>
      <c r="BG59" s="314"/>
      <c r="BH59" s="314"/>
      <c r="BI59" s="314"/>
      <c r="BJ59" s="314"/>
      <c r="BK59" s="314"/>
      <c r="BL59" s="314"/>
      <c r="BM59" s="314"/>
      <c r="BN59" s="314"/>
      <c r="BO59" s="314"/>
      <c r="BP59" s="314"/>
      <c r="BQ59" s="314"/>
      <c r="BR59" s="314"/>
      <c r="BS59" s="314"/>
      <c r="BT59" s="314"/>
      <c r="BU59" s="314"/>
      <c r="BV59" s="314"/>
      <c r="BW59" s="314"/>
      <c r="BX59" s="314"/>
      <c r="BY59" s="314"/>
      <c r="BZ59" s="314"/>
      <c r="CA59" s="314"/>
      <c r="CB59" s="314"/>
      <c r="CC59" s="314"/>
      <c r="CD59" s="314"/>
      <c r="CE59" s="314"/>
      <c r="CF59" s="314"/>
      <c r="CG59" s="314"/>
      <c r="CH59" s="314"/>
      <c r="CI59" s="314"/>
      <c r="CJ59" s="314"/>
      <c r="CK59" s="314"/>
      <c r="CL59" s="314"/>
      <c r="CM59" s="314"/>
      <c r="CN59" s="314"/>
      <c r="CO59" s="314"/>
      <c r="CP59" s="314"/>
      <c r="CQ59" s="314"/>
      <c r="CR59" s="314"/>
      <c r="CS59" s="314"/>
      <c r="CT59" s="314"/>
      <c r="CU59" s="314"/>
      <c r="CV59" s="314"/>
      <c r="CW59" s="314"/>
      <c r="CX59" s="314"/>
      <c r="CY59" s="314"/>
      <c r="CZ59" s="314"/>
      <c r="DA59" s="314"/>
      <c r="DB59" s="314"/>
      <c r="DC59" s="314"/>
      <c r="DD59" s="314"/>
      <c r="DE59" s="314"/>
      <c r="DF59" s="314"/>
      <c r="DG59" s="314"/>
      <c r="DH59" s="314"/>
      <c r="DI59" s="314"/>
      <c r="DJ59" s="314"/>
      <c r="DK59" s="314"/>
      <c r="DL59" s="314"/>
      <c r="DM59" s="314"/>
      <c r="DN59" s="314"/>
      <c r="DO59" s="314"/>
      <c r="DP59" s="314"/>
      <c r="DQ59" s="314"/>
      <c r="DR59" s="314"/>
      <c r="DS59" s="314"/>
      <c r="DT59" s="314"/>
      <c r="DU59" s="314"/>
      <c r="DV59" s="314"/>
      <c r="DW59" s="314"/>
      <c r="DX59" s="314"/>
      <c r="DY59" s="314"/>
      <c r="DZ59" s="314"/>
      <c r="EA59" s="314"/>
      <c r="EB59" s="314"/>
      <c r="EC59" s="314"/>
      <c r="ED59" s="314"/>
      <c r="EE59" s="314"/>
      <c r="EF59" s="314"/>
      <c r="EG59" s="314"/>
      <c r="EH59" s="314"/>
      <c r="EI59" s="314"/>
      <c r="EJ59" s="314"/>
      <c r="EK59" s="314"/>
      <c r="EL59" s="314"/>
      <c r="EM59" s="314"/>
      <c r="EN59" s="314"/>
      <c r="EO59" s="314"/>
      <c r="EP59" s="314"/>
      <c r="EQ59" s="314"/>
      <c r="ER59" s="314"/>
      <c r="ES59" s="314"/>
      <c r="ET59" s="314"/>
      <c r="EU59" s="314"/>
      <c r="EV59" s="314"/>
      <c r="EW59" s="314"/>
      <c r="EX59" s="314"/>
      <c r="EY59" s="314"/>
      <c r="EZ59" s="314"/>
      <c r="FA59" s="314"/>
      <c r="FB59" s="314"/>
      <c r="FC59" s="314"/>
      <c r="FD59" s="314"/>
      <c r="FE59" s="314"/>
      <c r="FF59" s="314"/>
      <c r="FG59" s="314"/>
      <c r="FH59" s="314"/>
      <c r="FI59" s="314"/>
      <c r="FJ59" s="314"/>
      <c r="FK59" s="314"/>
      <c r="FL59" s="314"/>
      <c r="FM59" s="314"/>
      <c r="FN59" s="314"/>
      <c r="FO59" s="314"/>
      <c r="FP59" s="314"/>
      <c r="FQ59" s="314"/>
      <c r="FR59" s="314"/>
      <c r="FS59" s="314"/>
      <c r="FT59" s="314"/>
      <c r="FU59" s="314"/>
      <c r="FV59" s="314"/>
      <c r="FW59" s="314"/>
      <c r="FX59" s="314"/>
      <c r="FY59" s="314"/>
      <c r="FZ59" s="314"/>
      <c r="GA59" s="314"/>
      <c r="GB59" s="314"/>
      <c r="GC59" s="314"/>
      <c r="GD59" s="314"/>
      <c r="GE59" s="314"/>
      <c r="GF59" s="314"/>
      <c r="GG59" s="314"/>
      <c r="GH59" s="314"/>
      <c r="GI59" s="314"/>
      <c r="GJ59" s="314"/>
      <c r="GK59" s="314"/>
      <c r="GL59" s="314"/>
      <c r="GM59" s="314"/>
      <c r="GN59" s="314"/>
      <c r="GO59" s="314"/>
      <c r="GP59" s="314"/>
      <c r="GQ59" s="314"/>
      <c r="GR59" s="314"/>
      <c r="GS59" s="314"/>
      <c r="GT59" s="314"/>
      <c r="GU59" s="314"/>
      <c r="GV59" s="314"/>
      <c r="GW59" s="314"/>
      <c r="GX59" s="314"/>
      <c r="GY59" s="314"/>
      <c r="GZ59" s="314"/>
      <c r="HA59" s="314"/>
      <c r="HB59" s="314"/>
      <c r="HC59" s="314"/>
      <c r="HD59" s="314"/>
      <c r="HE59" s="314"/>
      <c r="HF59" s="314"/>
      <c r="HG59" s="314"/>
      <c r="HH59" s="314"/>
      <c r="HI59" s="314"/>
      <c r="HJ59" s="314"/>
      <c r="HK59" s="314"/>
      <c r="HL59" s="314"/>
      <c r="HM59" s="314"/>
      <c r="HN59" s="314"/>
      <c r="HO59" s="314"/>
      <c r="HP59" s="314"/>
      <c r="HQ59" s="314"/>
      <c r="HR59" s="314"/>
      <c r="HS59" s="314"/>
      <c r="HT59" s="314"/>
      <c r="HU59" s="314"/>
      <c r="HV59" s="314"/>
      <c r="HW59" s="314"/>
      <c r="HX59" s="314"/>
      <c r="HY59" s="314"/>
      <c r="HZ59" s="314"/>
      <c r="IA59" s="314"/>
      <c r="IB59" s="314"/>
      <c r="IC59" s="314"/>
      <c r="ID59" s="314"/>
      <c r="IE59" s="314"/>
      <c r="IF59" s="314"/>
      <c r="IG59" s="314"/>
      <c r="IH59" s="314"/>
      <c r="II59" s="314"/>
      <c r="IJ59" s="314"/>
      <c r="IK59" s="314"/>
      <c r="IL59" s="314"/>
      <c r="IM59" s="314"/>
      <c r="IN59" s="314"/>
      <c r="IO59" s="314"/>
      <c r="IP59" s="314"/>
      <c r="IQ59" s="314"/>
      <c r="IR59" s="314"/>
      <c r="IS59" s="314"/>
      <c r="IT59" s="314"/>
      <c r="IU59" s="314"/>
      <c r="IV59" s="314"/>
      <c r="IW59" s="314"/>
    </row>
    <row r="60" customFormat="false" ht="12.75" hidden="false" customHeight="false" outlineLevel="0" collapsed="false">
      <c r="A60" s="37"/>
      <c r="B60" s="39" t="s">
        <v>502</v>
      </c>
      <c r="C60" s="105" t="s">
        <v>503</v>
      </c>
      <c r="D60" s="39"/>
      <c r="E60" s="39"/>
      <c r="F60" s="39"/>
      <c r="G60" s="537" t="str">
        <f aca="false">IF(G59=0,"N/A",G58/G59)</f>
        <v>N/A</v>
      </c>
      <c r="H60" s="537" t="str">
        <f aca="false">IF(H59=0,"N/A",H58/H59)</f>
        <v>N/A</v>
      </c>
      <c r="I60" s="537" t="n">
        <f aca="false">IF(I59=0,"N/A",I58/I59)</f>
        <v>1.45386389562447</v>
      </c>
      <c r="J60" s="537" t="n">
        <f aca="false">IF(J59=0,"N/A",J58/J59)</f>
        <v>0.855663332021908</v>
      </c>
      <c r="K60" s="537" t="n">
        <f aca="false">IF(K59=0,"N/A",K58/K59)</f>
        <v>0.756621821850049</v>
      </c>
      <c r="L60" s="537" t="n">
        <f aca="false">IF(L59=0,"N/A",L58/L59)</f>
        <v>0.908056179857339</v>
      </c>
      <c r="M60" s="537" t="n">
        <f aca="false">IF(M59=0,"N/A",M58/M59)</f>
        <v>0.8872856601356</v>
      </c>
      <c r="N60" s="537" t="n">
        <f aca="false">IF(N59=0,"N/A",N58/N59)</f>
        <v>0.880790495114888</v>
      </c>
      <c r="O60" s="537" t="n">
        <f aca="false">IF(O59=0,"N/A",O58/O59)</f>
        <v>0.914157577446067</v>
      </c>
      <c r="P60" s="537" t="n">
        <f aca="false">IF(P59=0,"N/A",P58/P59)</f>
        <v>1.15509784579404</v>
      </c>
      <c r="Q60" s="537" t="n">
        <f aca="false">IF(Q59=0,"N/A",Q58/Q59)</f>
        <v>1.55757957642134</v>
      </c>
      <c r="R60" s="537" t="n">
        <f aca="false">IF(R59=0,"N/A",R58/R59)</f>
        <v>1.683960710409</v>
      </c>
      <c r="S60" s="537" t="n">
        <f aca="false">IF(S59=0,"N/A",S58/S59)</f>
        <v>1.64150270032567</v>
      </c>
      <c r="T60" s="537" t="n">
        <f aca="false">IF(T59=0,"N/A",T58/T59)</f>
        <v>1.62904911383254</v>
      </c>
      <c r="U60" s="537" t="n">
        <f aca="false">IF(U59=0,"N/A",U58/U59)</f>
        <v>1.66218569035066</v>
      </c>
      <c r="V60" s="537" t="n">
        <f aca="false">IF(V59=0,"N/A",V58/V59)</f>
        <v>1.99507275777769</v>
      </c>
      <c r="W60" s="537" t="n">
        <f aca="false">IF(W59=0,"N/A",W58/W59)</f>
        <v>3.16928542496293</v>
      </c>
      <c r="X60" s="537" t="str">
        <f aca="false">IF(X59=0,"N/A",X58/X59)</f>
        <v>N/A</v>
      </c>
      <c r="Y60" s="537" t="str">
        <f aca="false">IF(Y59=0,"N/A",Y58/Y59)</f>
        <v>N/A</v>
      </c>
      <c r="Z60" s="537" t="str">
        <f aca="false">IF(Z59=0,"N/A",Z58/Z59)</f>
        <v>N/A</v>
      </c>
      <c r="AA60" s="52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</row>
    <row r="61" customFormat="false" ht="12.75" hidden="false" customHeight="false" outlineLevel="0" collapsed="false">
      <c r="A61" s="37"/>
      <c r="B61" s="39"/>
      <c r="C61" s="39"/>
      <c r="D61" s="39"/>
      <c r="E61" s="314"/>
      <c r="F61" s="314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536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/>
      <c r="AR61" s="314"/>
      <c r="AS61" s="314"/>
      <c r="AT61" s="314"/>
      <c r="AU61" s="314"/>
      <c r="AV61" s="314"/>
      <c r="AW61" s="314"/>
      <c r="AX61" s="314"/>
      <c r="AY61" s="314"/>
      <c r="AZ61" s="31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14"/>
      <c r="BL61" s="314"/>
      <c r="BM61" s="314"/>
      <c r="BN61" s="314"/>
      <c r="BO61" s="314"/>
      <c r="BP61" s="314"/>
      <c r="BQ61" s="314"/>
      <c r="BR61" s="314"/>
      <c r="BS61" s="314"/>
      <c r="BT61" s="314"/>
      <c r="BU61" s="314"/>
      <c r="BV61" s="314"/>
      <c r="BW61" s="314"/>
      <c r="BX61" s="314"/>
      <c r="BY61" s="314"/>
      <c r="BZ61" s="314"/>
      <c r="CA61" s="314"/>
      <c r="CB61" s="314"/>
      <c r="CC61" s="314"/>
      <c r="CD61" s="314"/>
      <c r="CE61" s="314"/>
      <c r="CF61" s="314"/>
      <c r="CG61" s="314"/>
      <c r="CH61" s="314"/>
      <c r="CI61" s="314"/>
      <c r="CJ61" s="314"/>
      <c r="CK61" s="314"/>
      <c r="CL61" s="314"/>
      <c r="CM61" s="314"/>
      <c r="CN61" s="314"/>
      <c r="CO61" s="314"/>
      <c r="CP61" s="314"/>
      <c r="CQ61" s="314"/>
      <c r="CR61" s="314"/>
      <c r="CS61" s="314"/>
      <c r="CT61" s="314"/>
      <c r="CU61" s="314"/>
      <c r="CV61" s="314"/>
      <c r="CW61" s="314"/>
      <c r="CX61" s="314"/>
      <c r="CY61" s="314"/>
      <c r="CZ61" s="314"/>
      <c r="DA61" s="314"/>
      <c r="DB61" s="314"/>
      <c r="DC61" s="314"/>
      <c r="DD61" s="314"/>
      <c r="DE61" s="314"/>
      <c r="DF61" s="314"/>
      <c r="DG61" s="314"/>
      <c r="DH61" s="314"/>
      <c r="DI61" s="314"/>
      <c r="DJ61" s="314"/>
      <c r="DK61" s="314"/>
      <c r="DL61" s="314"/>
      <c r="DM61" s="314"/>
      <c r="DN61" s="314"/>
      <c r="DO61" s="314"/>
      <c r="DP61" s="314"/>
      <c r="DQ61" s="314"/>
      <c r="DR61" s="314"/>
      <c r="DS61" s="314"/>
      <c r="DT61" s="314"/>
      <c r="DU61" s="314"/>
      <c r="DV61" s="314"/>
      <c r="DW61" s="314"/>
      <c r="DX61" s="314"/>
      <c r="DY61" s="314"/>
      <c r="DZ61" s="314"/>
      <c r="EA61" s="314"/>
      <c r="EB61" s="314"/>
      <c r="EC61" s="314"/>
      <c r="ED61" s="314"/>
      <c r="EE61" s="314"/>
      <c r="EF61" s="314"/>
      <c r="EG61" s="314"/>
      <c r="EH61" s="314"/>
      <c r="EI61" s="314"/>
      <c r="EJ61" s="314"/>
      <c r="EK61" s="314"/>
      <c r="EL61" s="314"/>
      <c r="EM61" s="314"/>
      <c r="EN61" s="314"/>
      <c r="EO61" s="314"/>
      <c r="EP61" s="314"/>
      <c r="EQ61" s="314"/>
      <c r="ER61" s="314"/>
      <c r="ES61" s="314"/>
      <c r="ET61" s="314"/>
      <c r="EU61" s="314"/>
      <c r="EV61" s="314"/>
      <c r="EW61" s="314"/>
      <c r="EX61" s="314"/>
      <c r="EY61" s="314"/>
      <c r="EZ61" s="314"/>
      <c r="FA61" s="314"/>
      <c r="FB61" s="314"/>
      <c r="FC61" s="314"/>
      <c r="FD61" s="314"/>
      <c r="FE61" s="314"/>
      <c r="FF61" s="314"/>
      <c r="FG61" s="314"/>
      <c r="FH61" s="314"/>
      <c r="FI61" s="314"/>
      <c r="FJ61" s="314"/>
      <c r="FK61" s="314"/>
      <c r="FL61" s="314"/>
      <c r="FM61" s="314"/>
      <c r="FN61" s="314"/>
      <c r="FO61" s="314"/>
      <c r="FP61" s="314"/>
      <c r="FQ61" s="314"/>
      <c r="FR61" s="314"/>
      <c r="FS61" s="314"/>
      <c r="FT61" s="314"/>
      <c r="FU61" s="314"/>
      <c r="FV61" s="314"/>
      <c r="FW61" s="314"/>
      <c r="FX61" s="314"/>
      <c r="FY61" s="314"/>
      <c r="FZ61" s="314"/>
      <c r="GA61" s="314"/>
      <c r="GB61" s="314"/>
      <c r="GC61" s="314"/>
      <c r="GD61" s="314"/>
      <c r="GE61" s="314"/>
      <c r="GF61" s="314"/>
      <c r="GG61" s="314"/>
      <c r="GH61" s="314"/>
      <c r="GI61" s="314"/>
      <c r="GJ61" s="314"/>
      <c r="GK61" s="314"/>
      <c r="GL61" s="314"/>
      <c r="GM61" s="314"/>
      <c r="GN61" s="314"/>
      <c r="GO61" s="314"/>
      <c r="GP61" s="314"/>
      <c r="GQ61" s="314"/>
      <c r="GR61" s="314"/>
      <c r="GS61" s="314"/>
      <c r="GT61" s="314"/>
      <c r="GU61" s="314"/>
      <c r="GV61" s="314"/>
      <c r="GW61" s="314"/>
      <c r="GX61" s="314"/>
      <c r="GY61" s="314"/>
      <c r="GZ61" s="314"/>
      <c r="HA61" s="314"/>
      <c r="HB61" s="314"/>
      <c r="HC61" s="314"/>
      <c r="HD61" s="314"/>
      <c r="HE61" s="314"/>
      <c r="HF61" s="314"/>
      <c r="HG61" s="314"/>
      <c r="HH61" s="314"/>
      <c r="HI61" s="314"/>
      <c r="HJ61" s="314"/>
      <c r="HK61" s="314"/>
      <c r="HL61" s="314"/>
      <c r="HM61" s="314"/>
      <c r="HN61" s="314"/>
      <c r="HO61" s="314"/>
      <c r="HP61" s="314"/>
      <c r="HQ61" s="314"/>
      <c r="HR61" s="314"/>
      <c r="HS61" s="314"/>
      <c r="HT61" s="314"/>
      <c r="HU61" s="314"/>
      <c r="HV61" s="314"/>
      <c r="HW61" s="314"/>
      <c r="HX61" s="314"/>
      <c r="HY61" s="314"/>
      <c r="HZ61" s="314"/>
      <c r="IA61" s="314"/>
      <c r="IB61" s="314"/>
      <c r="IC61" s="314"/>
      <c r="ID61" s="314"/>
      <c r="IE61" s="314"/>
      <c r="IF61" s="314"/>
      <c r="IG61" s="314"/>
      <c r="IH61" s="314"/>
      <c r="II61" s="314"/>
      <c r="IJ61" s="314"/>
      <c r="IK61" s="314"/>
      <c r="IL61" s="314"/>
      <c r="IM61" s="314"/>
      <c r="IN61" s="314"/>
      <c r="IO61" s="314"/>
      <c r="IP61" s="314"/>
      <c r="IQ61" s="314"/>
      <c r="IR61" s="314"/>
      <c r="IS61" s="314"/>
      <c r="IT61" s="314"/>
      <c r="IU61" s="314"/>
      <c r="IV61" s="314"/>
      <c r="IW61" s="314"/>
    </row>
    <row r="62" customFormat="false" ht="12.75" hidden="false" customHeight="false" outlineLevel="0" collapsed="false">
      <c r="A62" s="37"/>
      <c r="B62" s="39" t="s">
        <v>344</v>
      </c>
      <c r="C62" s="39"/>
      <c r="D62" s="39"/>
      <c r="E62" s="314"/>
      <c r="F62" s="314"/>
      <c r="G62" s="61" t="n">
        <f aca="false">CF!E$43</f>
        <v>0</v>
      </c>
      <c r="H62" s="61" t="n">
        <f aca="false">CF!F$43</f>
        <v>0</v>
      </c>
      <c r="I62" s="61" t="n">
        <f aca="false">CF!G$43</f>
        <v>5065.69806652947</v>
      </c>
      <c r="J62" s="61" t="n">
        <f aca="false">CF!H$43</f>
        <v>8103.02736870335</v>
      </c>
      <c r="K62" s="61" t="n">
        <f aca="false">CF!I$43</f>
        <v>7652.96520800094</v>
      </c>
      <c r="L62" s="61" t="n">
        <f aca="false">CF!J$43</f>
        <v>12076.0963752407</v>
      </c>
      <c r="M62" s="61" t="n">
        <f aca="false">CF!K$43</f>
        <v>12539.6692530351</v>
      </c>
      <c r="N62" s="61" t="n">
        <f aca="false">CF!L$43</f>
        <v>12569.1594367273</v>
      </c>
      <c r="O62" s="61" t="n">
        <f aca="false">CF!M$43</f>
        <v>12751.9606758467</v>
      </c>
      <c r="P62" s="61" t="n">
        <f aca="false">CF!N$43</f>
        <v>12715.0533450063</v>
      </c>
      <c r="Q62" s="61" t="n">
        <f aca="false">CF!O$43</f>
        <v>13083.3381152017</v>
      </c>
      <c r="R62" s="61" t="n">
        <f aca="false">CF!P$43</f>
        <v>13341.8334294997</v>
      </c>
      <c r="S62" s="61" t="n">
        <f aca="false">CF!Q$43</f>
        <v>13880.4196620209</v>
      </c>
      <c r="T62" s="61" t="n">
        <f aca="false">CF!R$43</f>
        <v>14371.6797688588</v>
      </c>
      <c r="U62" s="61" t="n">
        <f aca="false">CF!S$43</f>
        <v>13501.5871785154</v>
      </c>
      <c r="V62" s="61" t="n">
        <f aca="false">CF!T$43</f>
        <v>15264.8177623756</v>
      </c>
      <c r="W62" s="61" t="n">
        <f aca="false">CF!U$43</f>
        <v>16100.3956245364</v>
      </c>
      <c r="X62" s="61" t="n">
        <f aca="false">CF!V$43</f>
        <v>17025.9498931628</v>
      </c>
      <c r="Y62" s="61" t="n">
        <f aca="false">CF!W$43</f>
        <v>18121.4469657984</v>
      </c>
      <c r="Z62" s="61" t="n">
        <f aca="false">CF!X$43</f>
        <v>19091.4211967255</v>
      </c>
      <c r="AA62" s="536"/>
      <c r="AB62" s="314"/>
      <c r="AC62" s="314"/>
      <c r="AD62" s="314"/>
      <c r="AE62" s="314"/>
      <c r="AF62" s="314"/>
      <c r="AG62" s="314"/>
      <c r="AH62" s="314"/>
      <c r="AI62" s="314"/>
      <c r="AJ62" s="314"/>
      <c r="AK62" s="314"/>
      <c r="AL62" s="314"/>
      <c r="AM62" s="314"/>
      <c r="AN62" s="314"/>
      <c r="AO62" s="314"/>
      <c r="AP62" s="314"/>
      <c r="AQ62" s="314"/>
      <c r="AR62" s="314"/>
      <c r="AS62" s="314"/>
      <c r="AT62" s="314"/>
      <c r="AU62" s="314"/>
      <c r="AV62" s="314"/>
      <c r="AW62" s="314"/>
      <c r="AX62" s="314"/>
      <c r="AY62" s="314"/>
      <c r="AZ62" s="314"/>
      <c r="BA62" s="314"/>
      <c r="BB62" s="314"/>
      <c r="BC62" s="314"/>
      <c r="BD62" s="314"/>
      <c r="BE62" s="314"/>
      <c r="BF62" s="314"/>
      <c r="BG62" s="314"/>
      <c r="BH62" s="314"/>
      <c r="BI62" s="314"/>
      <c r="BJ62" s="314"/>
      <c r="BK62" s="314"/>
      <c r="BL62" s="314"/>
      <c r="BM62" s="314"/>
      <c r="BN62" s="314"/>
      <c r="BO62" s="314"/>
      <c r="BP62" s="314"/>
      <c r="BQ62" s="314"/>
      <c r="BR62" s="314"/>
      <c r="BS62" s="314"/>
      <c r="BT62" s="314"/>
      <c r="BU62" s="314"/>
      <c r="BV62" s="314"/>
      <c r="BW62" s="314"/>
      <c r="BX62" s="314"/>
      <c r="BY62" s="314"/>
      <c r="BZ62" s="314"/>
      <c r="CA62" s="314"/>
      <c r="CB62" s="314"/>
      <c r="CC62" s="314"/>
      <c r="CD62" s="314"/>
      <c r="CE62" s="314"/>
      <c r="CF62" s="314"/>
      <c r="CG62" s="314"/>
      <c r="CH62" s="314"/>
      <c r="CI62" s="314"/>
      <c r="CJ62" s="314"/>
      <c r="CK62" s="314"/>
      <c r="CL62" s="314"/>
      <c r="CM62" s="314"/>
      <c r="CN62" s="314"/>
      <c r="CO62" s="314"/>
      <c r="CP62" s="314"/>
      <c r="CQ62" s="314"/>
      <c r="CR62" s="314"/>
      <c r="CS62" s="314"/>
      <c r="CT62" s="314"/>
      <c r="CU62" s="314"/>
      <c r="CV62" s="314"/>
      <c r="CW62" s="314"/>
      <c r="CX62" s="314"/>
      <c r="CY62" s="314"/>
      <c r="CZ62" s="314"/>
      <c r="DA62" s="314"/>
      <c r="DB62" s="314"/>
      <c r="DC62" s="314"/>
      <c r="DD62" s="314"/>
      <c r="DE62" s="314"/>
      <c r="DF62" s="314"/>
      <c r="DG62" s="314"/>
      <c r="DH62" s="314"/>
      <c r="DI62" s="314"/>
      <c r="DJ62" s="314"/>
      <c r="DK62" s="314"/>
      <c r="DL62" s="314"/>
      <c r="DM62" s="314"/>
      <c r="DN62" s="314"/>
      <c r="DO62" s="314"/>
      <c r="DP62" s="314"/>
      <c r="DQ62" s="314"/>
      <c r="DR62" s="314"/>
      <c r="DS62" s="314"/>
      <c r="DT62" s="314"/>
      <c r="DU62" s="314"/>
      <c r="DV62" s="314"/>
      <c r="DW62" s="314"/>
      <c r="DX62" s="314"/>
      <c r="DY62" s="314"/>
      <c r="DZ62" s="314"/>
      <c r="EA62" s="314"/>
      <c r="EB62" s="314"/>
      <c r="EC62" s="314"/>
      <c r="ED62" s="314"/>
      <c r="EE62" s="314"/>
      <c r="EF62" s="314"/>
      <c r="EG62" s="314"/>
      <c r="EH62" s="314"/>
      <c r="EI62" s="314"/>
      <c r="EJ62" s="314"/>
      <c r="EK62" s="314"/>
      <c r="EL62" s="314"/>
      <c r="EM62" s="314"/>
      <c r="EN62" s="314"/>
      <c r="EO62" s="314"/>
      <c r="EP62" s="314"/>
      <c r="EQ62" s="314"/>
      <c r="ER62" s="314"/>
      <c r="ES62" s="314"/>
      <c r="ET62" s="314"/>
      <c r="EU62" s="314"/>
      <c r="EV62" s="314"/>
      <c r="EW62" s="314"/>
      <c r="EX62" s="314"/>
      <c r="EY62" s="314"/>
      <c r="EZ62" s="314"/>
      <c r="FA62" s="314"/>
      <c r="FB62" s="314"/>
      <c r="FC62" s="314"/>
      <c r="FD62" s="314"/>
      <c r="FE62" s="314"/>
      <c r="FF62" s="314"/>
      <c r="FG62" s="314"/>
      <c r="FH62" s="314"/>
      <c r="FI62" s="314"/>
      <c r="FJ62" s="314"/>
      <c r="FK62" s="314"/>
      <c r="FL62" s="314"/>
      <c r="FM62" s="314"/>
      <c r="FN62" s="314"/>
      <c r="FO62" s="314"/>
      <c r="FP62" s="314"/>
      <c r="FQ62" s="314"/>
      <c r="FR62" s="314"/>
      <c r="FS62" s="314"/>
      <c r="FT62" s="314"/>
      <c r="FU62" s="314"/>
      <c r="FV62" s="314"/>
      <c r="FW62" s="314"/>
      <c r="FX62" s="314"/>
      <c r="FY62" s="314"/>
      <c r="FZ62" s="314"/>
      <c r="GA62" s="314"/>
      <c r="GB62" s="314"/>
      <c r="GC62" s="314"/>
      <c r="GD62" s="314"/>
      <c r="GE62" s="314"/>
      <c r="GF62" s="314"/>
      <c r="GG62" s="314"/>
      <c r="GH62" s="314"/>
      <c r="GI62" s="314"/>
      <c r="GJ62" s="314"/>
      <c r="GK62" s="314"/>
      <c r="GL62" s="314"/>
      <c r="GM62" s="314"/>
      <c r="GN62" s="314"/>
      <c r="GO62" s="314"/>
      <c r="GP62" s="314"/>
      <c r="GQ62" s="314"/>
      <c r="GR62" s="314"/>
      <c r="GS62" s="314"/>
      <c r="GT62" s="314"/>
      <c r="GU62" s="314"/>
      <c r="GV62" s="314"/>
      <c r="GW62" s="314"/>
      <c r="GX62" s="314"/>
      <c r="GY62" s="314"/>
      <c r="GZ62" s="314"/>
      <c r="HA62" s="314"/>
      <c r="HB62" s="314"/>
      <c r="HC62" s="314"/>
      <c r="HD62" s="314"/>
      <c r="HE62" s="314"/>
      <c r="HF62" s="314"/>
      <c r="HG62" s="314"/>
      <c r="HH62" s="314"/>
      <c r="HI62" s="314"/>
      <c r="HJ62" s="314"/>
      <c r="HK62" s="314"/>
      <c r="HL62" s="314"/>
      <c r="HM62" s="314"/>
      <c r="HN62" s="314"/>
      <c r="HO62" s="314"/>
      <c r="HP62" s="314"/>
      <c r="HQ62" s="314"/>
      <c r="HR62" s="314"/>
      <c r="HS62" s="314"/>
      <c r="HT62" s="314"/>
      <c r="HU62" s="314"/>
      <c r="HV62" s="314"/>
      <c r="HW62" s="314"/>
      <c r="HX62" s="314"/>
      <c r="HY62" s="314"/>
      <c r="HZ62" s="314"/>
      <c r="IA62" s="314"/>
      <c r="IB62" s="314"/>
      <c r="IC62" s="314"/>
      <c r="ID62" s="314"/>
      <c r="IE62" s="314"/>
      <c r="IF62" s="314"/>
      <c r="IG62" s="314"/>
      <c r="IH62" s="314"/>
      <c r="II62" s="314"/>
      <c r="IJ62" s="314"/>
      <c r="IK62" s="314"/>
      <c r="IL62" s="314"/>
      <c r="IM62" s="314"/>
      <c r="IN62" s="314"/>
      <c r="IO62" s="314"/>
      <c r="IP62" s="314"/>
      <c r="IQ62" s="314"/>
      <c r="IR62" s="314"/>
      <c r="IS62" s="314"/>
      <c r="IT62" s="314"/>
      <c r="IU62" s="314"/>
      <c r="IV62" s="314"/>
      <c r="IW62" s="314"/>
    </row>
    <row r="63" customFormat="false" ht="12.75" hidden="false" customHeight="false" outlineLevel="0" collapsed="false">
      <c r="A63" s="37"/>
      <c r="B63" s="39" t="s">
        <v>361</v>
      </c>
      <c r="C63" s="39"/>
      <c r="D63" s="39"/>
      <c r="E63" s="314"/>
      <c r="F63" s="314"/>
      <c r="G63" s="306" t="n">
        <f aca="false">CF!E66</f>
        <v>-0</v>
      </c>
      <c r="H63" s="306" t="n">
        <f aca="false">CF!F66</f>
        <v>-0</v>
      </c>
      <c r="I63" s="306" t="n">
        <f aca="false">CF!G66</f>
        <v>-0</v>
      </c>
      <c r="J63" s="306" t="n">
        <f aca="false">CF!H66</f>
        <v>-0</v>
      </c>
      <c r="K63" s="306" t="n">
        <f aca="false">CF!I66</f>
        <v>-0</v>
      </c>
      <c r="L63" s="306" t="n">
        <f aca="false">CF!J66</f>
        <v>-0</v>
      </c>
      <c r="M63" s="306" t="n">
        <f aca="false">CF!K66</f>
        <v>-0</v>
      </c>
      <c r="N63" s="306" t="n">
        <f aca="false">CF!L66</f>
        <v>-0</v>
      </c>
      <c r="O63" s="306" t="n">
        <f aca="false">CF!M66</f>
        <v>-126.382735264625</v>
      </c>
      <c r="P63" s="306" t="n">
        <f aca="false">CF!N66</f>
        <v>-376.957775361251</v>
      </c>
      <c r="Q63" s="306" t="n">
        <f aca="false">CF!O66</f>
        <v>-633.694738280704</v>
      </c>
      <c r="R63" s="306" t="n">
        <f aca="false">CF!P66</f>
        <v>-757.745124309717</v>
      </c>
      <c r="S63" s="306" t="n">
        <f aca="false">CF!Q66</f>
        <v>-919.859540183429</v>
      </c>
      <c r="T63" s="306" t="n">
        <f aca="false">CF!R66</f>
        <v>-1087.91296926246</v>
      </c>
      <c r="U63" s="306" t="n">
        <f aca="false">CF!S66</f>
        <v>-972.072061691106</v>
      </c>
      <c r="V63" s="306" t="n">
        <f aca="false">CF!T66</f>
        <v>-1604.3943892397</v>
      </c>
      <c r="W63" s="306" t="n">
        <f aca="false">CF!U66</f>
        <v>-1844.51473458374</v>
      </c>
      <c r="X63" s="306" t="n">
        <f aca="false">CF!V66</f>
        <v>-1989.36528231723</v>
      </c>
      <c r="Y63" s="306" t="n">
        <f aca="false">CF!W66</f>
        <v>-2087.51010088537</v>
      </c>
      <c r="Z63" s="306" t="n">
        <f aca="false">CF!X66</f>
        <v>-2276.40081629353</v>
      </c>
      <c r="AA63" s="536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  <c r="AQ63" s="314"/>
      <c r="AR63" s="314"/>
      <c r="AS63" s="314"/>
      <c r="AT63" s="314"/>
      <c r="AU63" s="314"/>
      <c r="AV63" s="314"/>
      <c r="AW63" s="314"/>
      <c r="AX63" s="314"/>
      <c r="AY63" s="314"/>
      <c r="AZ63" s="31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14"/>
      <c r="BL63" s="314"/>
      <c r="BM63" s="314"/>
      <c r="BN63" s="314"/>
      <c r="BO63" s="314"/>
      <c r="BP63" s="314"/>
      <c r="BQ63" s="314"/>
      <c r="BR63" s="314"/>
      <c r="BS63" s="314"/>
      <c r="BT63" s="314"/>
      <c r="BU63" s="314"/>
      <c r="BV63" s="314"/>
      <c r="BW63" s="314"/>
      <c r="BX63" s="314"/>
      <c r="BY63" s="314"/>
      <c r="BZ63" s="314"/>
      <c r="CA63" s="314"/>
      <c r="CB63" s="314"/>
      <c r="CC63" s="314"/>
      <c r="CD63" s="314"/>
      <c r="CE63" s="314"/>
      <c r="CF63" s="314"/>
      <c r="CG63" s="314"/>
      <c r="CH63" s="314"/>
      <c r="CI63" s="314"/>
      <c r="CJ63" s="314"/>
      <c r="CK63" s="314"/>
      <c r="CL63" s="314"/>
      <c r="CM63" s="314"/>
      <c r="CN63" s="314"/>
      <c r="CO63" s="314"/>
      <c r="CP63" s="314"/>
      <c r="CQ63" s="314"/>
      <c r="CR63" s="314"/>
      <c r="CS63" s="314"/>
      <c r="CT63" s="314"/>
      <c r="CU63" s="314"/>
      <c r="CV63" s="314"/>
      <c r="CW63" s="314"/>
      <c r="CX63" s="314"/>
      <c r="CY63" s="314"/>
      <c r="CZ63" s="314"/>
      <c r="DA63" s="314"/>
      <c r="DB63" s="314"/>
      <c r="DC63" s="314"/>
      <c r="DD63" s="314"/>
      <c r="DE63" s="314"/>
      <c r="DF63" s="314"/>
      <c r="DG63" s="314"/>
      <c r="DH63" s="314"/>
      <c r="DI63" s="314"/>
      <c r="DJ63" s="314"/>
      <c r="DK63" s="314"/>
      <c r="DL63" s="314"/>
      <c r="DM63" s="314"/>
      <c r="DN63" s="314"/>
      <c r="DO63" s="314"/>
      <c r="DP63" s="314"/>
      <c r="DQ63" s="314"/>
      <c r="DR63" s="314"/>
      <c r="DS63" s="314"/>
      <c r="DT63" s="314"/>
      <c r="DU63" s="314"/>
      <c r="DV63" s="314"/>
      <c r="DW63" s="314"/>
      <c r="DX63" s="314"/>
      <c r="DY63" s="314"/>
      <c r="DZ63" s="314"/>
      <c r="EA63" s="314"/>
      <c r="EB63" s="314"/>
      <c r="EC63" s="314"/>
      <c r="ED63" s="314"/>
      <c r="EE63" s="314"/>
      <c r="EF63" s="314"/>
      <c r="EG63" s="314"/>
      <c r="EH63" s="314"/>
      <c r="EI63" s="314"/>
      <c r="EJ63" s="314"/>
      <c r="EK63" s="314"/>
      <c r="EL63" s="314"/>
      <c r="EM63" s="314"/>
      <c r="EN63" s="314"/>
      <c r="EO63" s="314"/>
      <c r="EP63" s="314"/>
      <c r="EQ63" s="314"/>
      <c r="ER63" s="314"/>
      <c r="ES63" s="314"/>
      <c r="ET63" s="314"/>
      <c r="EU63" s="314"/>
      <c r="EV63" s="314"/>
      <c r="EW63" s="314"/>
      <c r="EX63" s="314"/>
      <c r="EY63" s="314"/>
      <c r="EZ63" s="314"/>
      <c r="FA63" s="314"/>
      <c r="FB63" s="314"/>
      <c r="FC63" s="314"/>
      <c r="FD63" s="314"/>
      <c r="FE63" s="314"/>
      <c r="FF63" s="314"/>
      <c r="FG63" s="314"/>
      <c r="FH63" s="314"/>
      <c r="FI63" s="314"/>
      <c r="FJ63" s="314"/>
      <c r="FK63" s="314"/>
      <c r="FL63" s="314"/>
      <c r="FM63" s="314"/>
      <c r="FN63" s="314"/>
      <c r="FO63" s="314"/>
      <c r="FP63" s="314"/>
      <c r="FQ63" s="314"/>
      <c r="FR63" s="314"/>
      <c r="FS63" s="314"/>
      <c r="FT63" s="314"/>
      <c r="FU63" s="314"/>
      <c r="FV63" s="314"/>
      <c r="FW63" s="314"/>
      <c r="FX63" s="314"/>
      <c r="FY63" s="314"/>
      <c r="FZ63" s="314"/>
      <c r="GA63" s="314"/>
      <c r="GB63" s="314"/>
      <c r="GC63" s="314"/>
      <c r="GD63" s="314"/>
      <c r="GE63" s="314"/>
      <c r="GF63" s="314"/>
      <c r="GG63" s="314"/>
      <c r="GH63" s="314"/>
      <c r="GI63" s="314"/>
      <c r="GJ63" s="314"/>
      <c r="GK63" s="314"/>
      <c r="GL63" s="314"/>
      <c r="GM63" s="314"/>
      <c r="GN63" s="314"/>
      <c r="GO63" s="314"/>
      <c r="GP63" s="314"/>
      <c r="GQ63" s="314"/>
      <c r="GR63" s="314"/>
      <c r="GS63" s="314"/>
      <c r="GT63" s="314"/>
      <c r="GU63" s="314"/>
      <c r="GV63" s="314"/>
      <c r="GW63" s="314"/>
      <c r="GX63" s="314"/>
      <c r="GY63" s="314"/>
      <c r="GZ63" s="314"/>
      <c r="HA63" s="314"/>
      <c r="HB63" s="314"/>
      <c r="HC63" s="314"/>
      <c r="HD63" s="314"/>
      <c r="HE63" s="314"/>
      <c r="HF63" s="314"/>
      <c r="HG63" s="314"/>
      <c r="HH63" s="314"/>
      <c r="HI63" s="314"/>
      <c r="HJ63" s="314"/>
      <c r="HK63" s="314"/>
      <c r="HL63" s="314"/>
      <c r="HM63" s="314"/>
      <c r="HN63" s="314"/>
      <c r="HO63" s="314"/>
      <c r="HP63" s="314"/>
      <c r="HQ63" s="314"/>
      <c r="HR63" s="314"/>
      <c r="HS63" s="314"/>
      <c r="HT63" s="314"/>
      <c r="HU63" s="314"/>
      <c r="HV63" s="314"/>
      <c r="HW63" s="314"/>
      <c r="HX63" s="314"/>
      <c r="HY63" s="314"/>
      <c r="HZ63" s="314"/>
      <c r="IA63" s="314"/>
      <c r="IB63" s="314"/>
      <c r="IC63" s="314"/>
      <c r="ID63" s="314"/>
      <c r="IE63" s="314"/>
      <c r="IF63" s="314"/>
      <c r="IG63" s="314"/>
      <c r="IH63" s="314"/>
      <c r="II63" s="314"/>
      <c r="IJ63" s="314"/>
      <c r="IK63" s="314"/>
      <c r="IL63" s="314"/>
      <c r="IM63" s="314"/>
      <c r="IN63" s="314"/>
      <c r="IO63" s="314"/>
      <c r="IP63" s="314"/>
      <c r="IQ63" s="314"/>
      <c r="IR63" s="314"/>
      <c r="IS63" s="314"/>
      <c r="IT63" s="314"/>
      <c r="IU63" s="314"/>
      <c r="IV63" s="314"/>
      <c r="IW63" s="314"/>
    </row>
    <row r="64" customFormat="false" ht="12.75" hidden="false" customHeight="false" outlineLevel="0" collapsed="false">
      <c r="A64" s="37"/>
      <c r="B64" s="39" t="s">
        <v>504</v>
      </c>
      <c r="C64" s="39"/>
      <c r="D64" s="39"/>
      <c r="E64" s="314"/>
      <c r="F64" s="314"/>
      <c r="G64" s="61" t="n">
        <f aca="false">SUM(G62:G63)</f>
        <v>0</v>
      </c>
      <c r="H64" s="61" t="n">
        <f aca="false">SUM(H62:H63)</f>
        <v>0</v>
      </c>
      <c r="I64" s="61" t="n">
        <f aca="false">SUM(I62:I63)</f>
        <v>5065.69806652947</v>
      </c>
      <c r="J64" s="61" t="n">
        <f aca="false">SUM(J62:J63)</f>
        <v>8103.02736870335</v>
      </c>
      <c r="K64" s="61" t="n">
        <f aca="false">SUM(K62:K63)</f>
        <v>7652.96520800094</v>
      </c>
      <c r="L64" s="61" t="n">
        <f aca="false">SUM(L62:L63)</f>
        <v>12076.0963752407</v>
      </c>
      <c r="M64" s="61" t="n">
        <f aca="false">SUM(M62:M63)</f>
        <v>12539.6692530351</v>
      </c>
      <c r="N64" s="61" t="n">
        <f aca="false">SUM(N62:N63)</f>
        <v>12569.1594367273</v>
      </c>
      <c r="O64" s="61" t="n">
        <f aca="false">SUM(O62:O63)</f>
        <v>12625.5779405821</v>
      </c>
      <c r="P64" s="61" t="n">
        <f aca="false">SUM(P62:P63)</f>
        <v>12338.0955696451</v>
      </c>
      <c r="Q64" s="61" t="n">
        <f aca="false">SUM(Q62:Q63)</f>
        <v>12449.643376921</v>
      </c>
      <c r="R64" s="61" t="n">
        <f aca="false">SUM(R62:R63)</f>
        <v>12584.0883051899</v>
      </c>
      <c r="S64" s="61" t="n">
        <f aca="false">SUM(S62:S63)</f>
        <v>12960.5601218375</v>
      </c>
      <c r="T64" s="61" t="n">
        <f aca="false">SUM(T62:T63)</f>
        <v>13283.7667995964</v>
      </c>
      <c r="U64" s="61" t="n">
        <f aca="false">SUM(U62:U63)</f>
        <v>12529.5151168243</v>
      </c>
      <c r="V64" s="61" t="n">
        <f aca="false">SUM(V62:V63)</f>
        <v>13660.4233731359</v>
      </c>
      <c r="W64" s="61" t="n">
        <f aca="false">SUM(W62:W63)</f>
        <v>14255.8808899527</v>
      </c>
      <c r="X64" s="61" t="n">
        <f aca="false">SUM(X62:X63)</f>
        <v>15036.5846108456</v>
      </c>
      <c r="Y64" s="61" t="n">
        <f aca="false">SUM(Y62:Y63)</f>
        <v>16033.9368649131</v>
      </c>
      <c r="Z64" s="61" t="n">
        <f aca="false">SUM(Z62:Z63)</f>
        <v>16815.020380432</v>
      </c>
      <c r="AA64" s="536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4"/>
      <c r="AZ64" s="31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14"/>
      <c r="BL64" s="314"/>
      <c r="BM64" s="314"/>
      <c r="BN64" s="314"/>
      <c r="BO64" s="314"/>
      <c r="BP64" s="314"/>
      <c r="BQ64" s="314"/>
      <c r="BR64" s="314"/>
      <c r="BS64" s="314"/>
      <c r="BT64" s="314"/>
      <c r="BU64" s="314"/>
      <c r="BV64" s="314"/>
      <c r="BW64" s="314"/>
      <c r="BX64" s="314"/>
      <c r="BY64" s="314"/>
      <c r="BZ64" s="314"/>
      <c r="CA64" s="314"/>
      <c r="CB64" s="314"/>
      <c r="CC64" s="314"/>
      <c r="CD64" s="314"/>
      <c r="CE64" s="314"/>
      <c r="CF64" s="314"/>
      <c r="CG64" s="314"/>
      <c r="CH64" s="314"/>
      <c r="CI64" s="314"/>
      <c r="CJ64" s="314"/>
      <c r="CK64" s="314"/>
      <c r="CL64" s="314"/>
      <c r="CM64" s="314"/>
      <c r="CN64" s="314"/>
      <c r="CO64" s="314"/>
      <c r="CP64" s="314"/>
      <c r="CQ64" s="314"/>
      <c r="CR64" s="314"/>
      <c r="CS64" s="314"/>
      <c r="CT64" s="314"/>
      <c r="CU64" s="314"/>
      <c r="CV64" s="314"/>
      <c r="CW64" s="314"/>
      <c r="CX64" s="314"/>
      <c r="CY64" s="314"/>
      <c r="CZ64" s="314"/>
      <c r="DA64" s="314"/>
      <c r="DB64" s="314"/>
      <c r="DC64" s="314"/>
      <c r="DD64" s="314"/>
      <c r="DE64" s="314"/>
      <c r="DF64" s="314"/>
      <c r="DG64" s="314"/>
      <c r="DH64" s="314"/>
      <c r="DI64" s="314"/>
      <c r="DJ64" s="314"/>
      <c r="DK64" s="314"/>
      <c r="DL64" s="314"/>
      <c r="DM64" s="314"/>
      <c r="DN64" s="314"/>
      <c r="DO64" s="314"/>
      <c r="DP64" s="314"/>
      <c r="DQ64" s="314"/>
      <c r="DR64" s="314"/>
      <c r="DS64" s="314"/>
      <c r="DT64" s="314"/>
      <c r="DU64" s="314"/>
      <c r="DV64" s="314"/>
      <c r="DW64" s="314"/>
      <c r="DX64" s="314"/>
      <c r="DY64" s="314"/>
      <c r="DZ64" s="314"/>
      <c r="EA64" s="314"/>
      <c r="EB64" s="314"/>
      <c r="EC64" s="314"/>
      <c r="ED64" s="314"/>
      <c r="EE64" s="314"/>
      <c r="EF64" s="314"/>
      <c r="EG64" s="314"/>
      <c r="EH64" s="314"/>
      <c r="EI64" s="314"/>
      <c r="EJ64" s="314"/>
      <c r="EK64" s="314"/>
      <c r="EL64" s="314"/>
      <c r="EM64" s="314"/>
      <c r="EN64" s="314"/>
      <c r="EO64" s="314"/>
      <c r="EP64" s="314"/>
      <c r="EQ64" s="314"/>
      <c r="ER64" s="314"/>
      <c r="ES64" s="314"/>
      <c r="ET64" s="314"/>
      <c r="EU64" s="314"/>
      <c r="EV64" s="314"/>
      <c r="EW64" s="314"/>
      <c r="EX64" s="314"/>
      <c r="EY64" s="314"/>
      <c r="EZ64" s="314"/>
      <c r="FA64" s="314"/>
      <c r="FB64" s="314"/>
      <c r="FC64" s="314"/>
      <c r="FD64" s="314"/>
      <c r="FE64" s="314"/>
      <c r="FF64" s="314"/>
      <c r="FG64" s="314"/>
      <c r="FH64" s="314"/>
      <c r="FI64" s="314"/>
      <c r="FJ64" s="314"/>
      <c r="FK64" s="314"/>
      <c r="FL64" s="314"/>
      <c r="FM64" s="314"/>
      <c r="FN64" s="314"/>
      <c r="FO64" s="314"/>
      <c r="FP64" s="314"/>
      <c r="FQ64" s="314"/>
      <c r="FR64" s="314"/>
      <c r="FS64" s="314"/>
      <c r="FT64" s="314"/>
      <c r="FU64" s="314"/>
      <c r="FV64" s="314"/>
      <c r="FW64" s="314"/>
      <c r="FX64" s="314"/>
      <c r="FY64" s="314"/>
      <c r="FZ64" s="314"/>
      <c r="GA64" s="314"/>
      <c r="GB64" s="314"/>
      <c r="GC64" s="314"/>
      <c r="GD64" s="314"/>
      <c r="GE64" s="314"/>
      <c r="GF64" s="314"/>
      <c r="GG64" s="314"/>
      <c r="GH64" s="314"/>
      <c r="GI64" s="314"/>
      <c r="GJ64" s="314"/>
      <c r="GK64" s="314"/>
      <c r="GL64" s="314"/>
      <c r="GM64" s="314"/>
      <c r="GN64" s="314"/>
      <c r="GO64" s="314"/>
      <c r="GP64" s="314"/>
      <c r="GQ64" s="314"/>
      <c r="GR64" s="314"/>
      <c r="GS64" s="314"/>
      <c r="GT64" s="314"/>
      <c r="GU64" s="314"/>
      <c r="GV64" s="314"/>
      <c r="GW64" s="314"/>
      <c r="GX64" s="314"/>
      <c r="GY64" s="314"/>
      <c r="GZ64" s="314"/>
      <c r="HA64" s="314"/>
      <c r="HB64" s="314"/>
      <c r="HC64" s="314"/>
      <c r="HD64" s="314"/>
      <c r="HE64" s="314"/>
      <c r="HF64" s="314"/>
      <c r="HG64" s="314"/>
      <c r="HH64" s="314"/>
      <c r="HI64" s="314"/>
      <c r="HJ64" s="314"/>
      <c r="HK64" s="314"/>
      <c r="HL64" s="314"/>
      <c r="HM64" s="314"/>
      <c r="HN64" s="314"/>
      <c r="HO64" s="314"/>
      <c r="HP64" s="314"/>
      <c r="HQ64" s="314"/>
      <c r="HR64" s="314"/>
      <c r="HS64" s="314"/>
      <c r="HT64" s="314"/>
      <c r="HU64" s="314"/>
      <c r="HV64" s="314"/>
      <c r="HW64" s="314"/>
      <c r="HX64" s="314"/>
      <c r="HY64" s="314"/>
      <c r="HZ64" s="314"/>
      <c r="IA64" s="314"/>
      <c r="IB64" s="314"/>
      <c r="IC64" s="314"/>
      <c r="ID64" s="314"/>
      <c r="IE64" s="314"/>
      <c r="IF64" s="314"/>
      <c r="IG64" s="314"/>
      <c r="IH64" s="314"/>
      <c r="II64" s="314"/>
      <c r="IJ64" s="314"/>
      <c r="IK64" s="314"/>
      <c r="IL64" s="314"/>
      <c r="IM64" s="314"/>
      <c r="IN64" s="314"/>
      <c r="IO64" s="314"/>
      <c r="IP64" s="314"/>
      <c r="IQ64" s="314"/>
      <c r="IR64" s="314"/>
      <c r="IS64" s="314"/>
      <c r="IT64" s="314"/>
      <c r="IU64" s="314"/>
      <c r="IV64" s="314"/>
      <c r="IW64" s="314"/>
    </row>
    <row r="65" customFormat="false" ht="12.75" hidden="false" customHeight="false" outlineLevel="0" collapsed="false">
      <c r="A65" s="37"/>
      <c r="B65" s="39" t="s">
        <v>501</v>
      </c>
      <c r="C65" s="39"/>
      <c r="D65" s="39"/>
      <c r="E65" s="314"/>
      <c r="F65" s="314"/>
      <c r="G65" s="306" t="n">
        <f aca="false">IF(CF!E$6&gt;Assm!$X$72,0,'Debt Amort'!E$14)</f>
        <v>0</v>
      </c>
      <c r="H65" s="306" t="n">
        <f aca="false">IF(CF!F$6&gt;Assm!$X$72,0,'Debt Amort'!F$14)</f>
        <v>0</v>
      </c>
      <c r="I65" s="306" t="n">
        <f aca="false">IF(CF!G$6&gt;Assm!$X$72,0,'Debt Amort'!G$14)</f>
        <v>3484.30006534666</v>
      </c>
      <c r="J65" s="306" t="n">
        <f aca="false">IF(CF!H$6&gt;Assm!$X$72,0,'Debt Amort'!H$14)</f>
        <v>9469.87800629031</v>
      </c>
      <c r="K65" s="306" t="n">
        <f aca="false">IF(CF!I$6&gt;Assm!$X$72,0,'Debt Amort'!I$14)</f>
        <v>10114.6503933608</v>
      </c>
      <c r="L65" s="306" t="n">
        <f aca="false">IF(CF!J$6&gt;Assm!$X$72,0,'Debt Amort'!J$14)</f>
        <v>13298.8427843065</v>
      </c>
      <c r="M65" s="306" t="n">
        <f aca="false">IF(CF!K$6&gt;Assm!$X$72,0,'Debt Amort'!K$14)</f>
        <v>14132.6179565651</v>
      </c>
      <c r="N65" s="306" t="n">
        <f aca="false">IF(CF!L$6&gt;Assm!$X$72,0,'Debt Amort'!L$14)</f>
        <v>14270.3168420179</v>
      </c>
      <c r="O65" s="306" t="n">
        <f aca="false">IF(CF!M$6&gt;Assm!$X$72,0,'Debt Amort'!M$14)</f>
        <v>13949.4119946723</v>
      </c>
      <c r="P65" s="306" t="n">
        <f aca="false">IF(CF!N$6&gt;Assm!$X$72,0,'Debt Amort'!N$14)</f>
        <v>11007.7716717286</v>
      </c>
      <c r="Q65" s="306" t="n">
        <f aca="false">IF(CF!O$6&gt;Assm!$X$72,0,'Debt Amort'!O$14)</f>
        <v>8399.78792304251</v>
      </c>
      <c r="R65" s="306" t="n">
        <f aca="false">IF(CF!P$6&gt;Assm!$X$72,0,'Debt Amort'!P$14)</f>
        <v>7922.8887865556</v>
      </c>
      <c r="S65" s="306" t="n">
        <f aca="false">IF(CF!Q$6&gt;Assm!$X$72,0,'Debt Amort'!Q$14)</f>
        <v>8455.92252712535</v>
      </c>
      <c r="T65" s="306" t="n">
        <f aca="false">IF(CF!R$6&gt;Assm!$X$72,0,'Debt Amort'!R$14)</f>
        <v>8822.12798056631</v>
      </c>
      <c r="U65" s="306" t="n">
        <f aca="false">IF(CF!S$6&gt;Assm!$X$72,0,'Debt Amort'!S$14)</f>
        <v>8122.79112790767</v>
      </c>
      <c r="V65" s="306" t="n">
        <f aca="false">IF(CF!T$6&gt;Assm!$X$72,0,'Debt Amort'!T$14)</f>
        <v>7651.25868360767</v>
      </c>
      <c r="W65" s="306" t="n">
        <f aca="false">IF(CF!U$6&gt;Assm!$X$72,0,'Debt Amort'!U$14)</f>
        <v>5080.13430968427</v>
      </c>
      <c r="X65" s="306" t="n">
        <f aca="false">IF(CF!V$6&gt;Assm!$X$72,0,'Debt Amort'!V$14)</f>
        <v>0</v>
      </c>
      <c r="Y65" s="306" t="n">
        <f aca="false">IF(CF!W$6&gt;Assm!$X$72,0,'Debt Amort'!W$14)</f>
        <v>0</v>
      </c>
      <c r="Z65" s="306" t="n">
        <f aca="false">IF(CF!X$6&gt;Assm!$X$72,0,'Debt Amort'!X$14)</f>
        <v>0</v>
      </c>
      <c r="AA65" s="536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4"/>
      <c r="AZ65" s="31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14"/>
      <c r="BL65" s="314"/>
      <c r="BM65" s="314"/>
      <c r="BN65" s="314"/>
      <c r="BO65" s="314"/>
      <c r="BP65" s="314"/>
      <c r="BQ65" s="314"/>
      <c r="BR65" s="314"/>
      <c r="BS65" s="314"/>
      <c r="BT65" s="314"/>
      <c r="BU65" s="314"/>
      <c r="BV65" s="314"/>
      <c r="BW65" s="314"/>
      <c r="BX65" s="314"/>
      <c r="BY65" s="314"/>
      <c r="BZ65" s="314"/>
      <c r="CA65" s="314"/>
      <c r="CB65" s="314"/>
      <c r="CC65" s="314"/>
      <c r="CD65" s="314"/>
      <c r="CE65" s="314"/>
      <c r="CF65" s="314"/>
      <c r="CG65" s="314"/>
      <c r="CH65" s="314"/>
      <c r="CI65" s="314"/>
      <c r="CJ65" s="314"/>
      <c r="CK65" s="314"/>
      <c r="CL65" s="314"/>
      <c r="CM65" s="314"/>
      <c r="CN65" s="314"/>
      <c r="CO65" s="314"/>
      <c r="CP65" s="314"/>
      <c r="CQ65" s="314"/>
      <c r="CR65" s="314"/>
      <c r="CS65" s="314"/>
      <c r="CT65" s="314"/>
      <c r="CU65" s="314"/>
      <c r="CV65" s="314"/>
      <c r="CW65" s="314"/>
      <c r="CX65" s="314"/>
      <c r="CY65" s="314"/>
      <c r="CZ65" s="314"/>
      <c r="DA65" s="314"/>
      <c r="DB65" s="314"/>
      <c r="DC65" s="314"/>
      <c r="DD65" s="314"/>
      <c r="DE65" s="314"/>
      <c r="DF65" s="314"/>
      <c r="DG65" s="314"/>
      <c r="DH65" s="314"/>
      <c r="DI65" s="314"/>
      <c r="DJ65" s="314"/>
      <c r="DK65" s="314"/>
      <c r="DL65" s="314"/>
      <c r="DM65" s="314"/>
      <c r="DN65" s="314"/>
      <c r="DO65" s="314"/>
      <c r="DP65" s="314"/>
      <c r="DQ65" s="314"/>
      <c r="DR65" s="314"/>
      <c r="DS65" s="314"/>
      <c r="DT65" s="314"/>
      <c r="DU65" s="314"/>
      <c r="DV65" s="314"/>
      <c r="DW65" s="314"/>
      <c r="DX65" s="314"/>
      <c r="DY65" s="314"/>
      <c r="DZ65" s="314"/>
      <c r="EA65" s="314"/>
      <c r="EB65" s="314"/>
      <c r="EC65" s="314"/>
      <c r="ED65" s="314"/>
      <c r="EE65" s="314"/>
      <c r="EF65" s="314"/>
      <c r="EG65" s="314"/>
      <c r="EH65" s="314"/>
      <c r="EI65" s="314"/>
      <c r="EJ65" s="314"/>
      <c r="EK65" s="314"/>
      <c r="EL65" s="314"/>
      <c r="EM65" s="314"/>
      <c r="EN65" s="314"/>
      <c r="EO65" s="314"/>
      <c r="EP65" s="314"/>
      <c r="EQ65" s="314"/>
      <c r="ER65" s="314"/>
      <c r="ES65" s="314"/>
      <c r="ET65" s="314"/>
      <c r="EU65" s="314"/>
      <c r="EV65" s="314"/>
      <c r="EW65" s="314"/>
      <c r="EX65" s="314"/>
      <c r="EY65" s="314"/>
      <c r="EZ65" s="314"/>
      <c r="FA65" s="314"/>
      <c r="FB65" s="314"/>
      <c r="FC65" s="314"/>
      <c r="FD65" s="314"/>
      <c r="FE65" s="314"/>
      <c r="FF65" s="314"/>
      <c r="FG65" s="314"/>
      <c r="FH65" s="314"/>
      <c r="FI65" s="314"/>
      <c r="FJ65" s="314"/>
      <c r="FK65" s="314"/>
      <c r="FL65" s="314"/>
      <c r="FM65" s="314"/>
      <c r="FN65" s="314"/>
      <c r="FO65" s="314"/>
      <c r="FP65" s="314"/>
      <c r="FQ65" s="314"/>
      <c r="FR65" s="314"/>
      <c r="FS65" s="314"/>
      <c r="FT65" s="314"/>
      <c r="FU65" s="314"/>
      <c r="FV65" s="314"/>
      <c r="FW65" s="314"/>
      <c r="FX65" s="314"/>
      <c r="FY65" s="314"/>
      <c r="FZ65" s="314"/>
      <c r="GA65" s="314"/>
      <c r="GB65" s="314"/>
      <c r="GC65" s="314"/>
      <c r="GD65" s="314"/>
      <c r="GE65" s="314"/>
      <c r="GF65" s="314"/>
      <c r="GG65" s="314"/>
      <c r="GH65" s="314"/>
      <c r="GI65" s="314"/>
      <c r="GJ65" s="314"/>
      <c r="GK65" s="314"/>
      <c r="GL65" s="314"/>
      <c r="GM65" s="314"/>
      <c r="GN65" s="314"/>
      <c r="GO65" s="314"/>
      <c r="GP65" s="314"/>
      <c r="GQ65" s="314"/>
      <c r="GR65" s="314"/>
      <c r="GS65" s="314"/>
      <c r="GT65" s="314"/>
      <c r="GU65" s="314"/>
      <c r="GV65" s="314"/>
      <c r="GW65" s="314"/>
      <c r="GX65" s="314"/>
      <c r="GY65" s="314"/>
      <c r="GZ65" s="314"/>
      <c r="HA65" s="314"/>
      <c r="HB65" s="314"/>
      <c r="HC65" s="314"/>
      <c r="HD65" s="314"/>
      <c r="HE65" s="314"/>
      <c r="HF65" s="314"/>
      <c r="HG65" s="314"/>
      <c r="HH65" s="314"/>
      <c r="HI65" s="314"/>
      <c r="HJ65" s="314"/>
      <c r="HK65" s="314"/>
      <c r="HL65" s="314"/>
      <c r="HM65" s="314"/>
      <c r="HN65" s="314"/>
      <c r="HO65" s="314"/>
      <c r="HP65" s="314"/>
      <c r="HQ65" s="314"/>
      <c r="HR65" s="314"/>
      <c r="HS65" s="314"/>
      <c r="HT65" s="314"/>
      <c r="HU65" s="314"/>
      <c r="HV65" s="314"/>
      <c r="HW65" s="314"/>
      <c r="HX65" s="314"/>
      <c r="HY65" s="314"/>
      <c r="HZ65" s="314"/>
      <c r="IA65" s="314"/>
      <c r="IB65" s="314"/>
      <c r="IC65" s="314"/>
      <c r="ID65" s="314"/>
      <c r="IE65" s="314"/>
      <c r="IF65" s="314"/>
      <c r="IG65" s="314"/>
      <c r="IH65" s="314"/>
      <c r="II65" s="314"/>
      <c r="IJ65" s="314"/>
      <c r="IK65" s="314"/>
      <c r="IL65" s="314"/>
      <c r="IM65" s="314"/>
      <c r="IN65" s="314"/>
      <c r="IO65" s="314"/>
      <c r="IP65" s="314"/>
      <c r="IQ65" s="314"/>
      <c r="IR65" s="314"/>
      <c r="IS65" s="314"/>
      <c r="IT65" s="314"/>
      <c r="IU65" s="314"/>
      <c r="IV65" s="314"/>
      <c r="IW65" s="314"/>
    </row>
    <row r="66" customFormat="false" ht="13.5" hidden="false" customHeight="false" outlineLevel="0" collapsed="false">
      <c r="A66" s="49"/>
      <c r="B66" s="22" t="s">
        <v>505</v>
      </c>
      <c r="C66" s="256" t="s">
        <v>503</v>
      </c>
      <c r="D66" s="22"/>
      <c r="E66" s="22"/>
      <c r="F66" s="22"/>
      <c r="G66" s="538" t="str">
        <f aca="false">IF(G65=0,"N/A",G64/G65)</f>
        <v>N/A</v>
      </c>
      <c r="H66" s="538" t="str">
        <f aca="false">IF(H65=0,"N/A",H64/H65)</f>
        <v>N/A</v>
      </c>
      <c r="I66" s="538" t="n">
        <f aca="false">IF(I65=0,"N/A",I64/I65)</f>
        <v>1.45386389562447</v>
      </c>
      <c r="J66" s="538" t="n">
        <f aca="false">IF(J65=0,"N/A",J64/J65)</f>
        <v>0.855663332021908</v>
      </c>
      <c r="K66" s="538" t="n">
        <f aca="false">IF(K65=0,"N/A",K64/K65)</f>
        <v>0.756621821850049</v>
      </c>
      <c r="L66" s="538" t="n">
        <f aca="false">IF(L65=0,"N/A",L64/L65)</f>
        <v>0.908056179857339</v>
      </c>
      <c r="M66" s="538" t="n">
        <f aca="false">IF(M65=0,"N/A",M64/M65)</f>
        <v>0.8872856601356</v>
      </c>
      <c r="N66" s="538" t="n">
        <f aca="false">IF(N65=0,"N/A",N64/N65)</f>
        <v>0.880790495114888</v>
      </c>
      <c r="O66" s="538" t="n">
        <f aca="false">IF(O65=0,"N/A",O64/O65)</f>
        <v>0.905097501271323</v>
      </c>
      <c r="P66" s="538" t="n">
        <f aca="false">IF(P65=0,"N/A",P64/P65)</f>
        <v>1.12085315153594</v>
      </c>
      <c r="Q66" s="538" t="n">
        <f aca="false">IF(Q65=0,"N/A",Q64/Q65)</f>
        <v>1.48213782192867</v>
      </c>
      <c r="R66" s="538" t="n">
        <f aca="false">IF(R65=0,"N/A",R64/R65)</f>
        <v>1.58832070526396</v>
      </c>
      <c r="S66" s="538" t="n">
        <f aca="false">IF(S65=0,"N/A",S64/S65)</f>
        <v>1.53271982805683</v>
      </c>
      <c r="T66" s="538" t="n">
        <f aca="false">IF(T65=0,"N/A",T64/T65)</f>
        <v>1.50573272444679</v>
      </c>
      <c r="U66" s="538" t="n">
        <f aca="false">IF(U65=0,"N/A",U64/U65)</f>
        <v>1.54251351777055</v>
      </c>
      <c r="V66" s="538" t="n">
        <f aca="false">IF(V65=0,"N/A",V64/V65)</f>
        <v>1.78538250214994</v>
      </c>
      <c r="W66" s="538" t="n">
        <f aca="false">IF(W65=0,"N/A",W64/W65)</f>
        <v>2.80620157281604</v>
      </c>
      <c r="X66" s="538" t="str">
        <f aca="false">IF(X65=0,"N/A",X64/X65)</f>
        <v>N/A</v>
      </c>
      <c r="Y66" s="538" t="str">
        <f aca="false">IF(Y65=0,"N/A",Y64/Y65)</f>
        <v>N/A</v>
      </c>
      <c r="Z66" s="538" t="str">
        <f aca="false">IF(Z65=0,"N/A",Z64/Z65)</f>
        <v>N/A</v>
      </c>
      <c r="AA66" s="5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false" showRowColHeaders="true" showZeros="true" rightToLeft="false" tabSelected="false" showOutlineSymbols="true" defaultGridColor="true" view="normal" topLeftCell="A5" colorId="64" zoomScale="75" zoomScaleNormal="75" zoomScalePageLayoutView="100" workbookViewId="0">
      <selection pane="topLeft" activeCell="J30" activeCellId="0" sqref="J3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08" width="22.7"/>
    <col collapsed="false" customWidth="true" hidden="false" outlineLevel="0" max="3" min="2" style="352" width="11.7"/>
    <col collapsed="false" customWidth="true" hidden="false" outlineLevel="0" max="4" min="4" style="352" width="8.14"/>
    <col collapsed="false" customWidth="true" hidden="false" outlineLevel="0" max="5" min="5" style="352" width="10.71"/>
    <col collapsed="false" customWidth="true" hidden="false" outlineLevel="0" max="6" min="6" style="352" width="6.13"/>
    <col collapsed="false" customWidth="true" hidden="false" outlineLevel="0" max="7" min="7" style="352" width="6.28"/>
    <col collapsed="false" customWidth="true" hidden="false" outlineLevel="0" max="8" min="8" style="352" width="9.7"/>
    <col collapsed="false" customWidth="true" hidden="false" outlineLevel="0" max="14" min="9" style="352" width="11.28"/>
    <col collapsed="false" customWidth="true" hidden="false" outlineLevel="0" max="26" min="15" style="352" width="12.28"/>
    <col collapsed="false" customWidth="true" hidden="false" outlineLevel="0" max="27" min="27" style="108" width="13.28"/>
    <col collapsed="false" customWidth="false" hidden="false" outlineLevel="0" max="257" min="28" style="352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H1" s="353"/>
      <c r="K1" s="354"/>
      <c r="S1" s="355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H2" s="353"/>
      <c r="K2" s="354"/>
      <c r="S2" s="355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F3" s="357"/>
      <c r="H3" s="353"/>
      <c r="K3" s="354"/>
      <c r="T3" s="358"/>
      <c r="U3" s="358"/>
    </row>
    <row r="4" customFormat="false" ht="15.75" hidden="false" customHeight="false" outlineLevel="0" collapsed="false">
      <c r="A4" s="21" t="s">
        <v>506</v>
      </c>
      <c r="B4" s="21"/>
      <c r="C4" s="522"/>
      <c r="D4" s="448"/>
      <c r="E4" s="453"/>
      <c r="F4" s="357"/>
      <c r="H4" s="353"/>
      <c r="K4" s="354"/>
    </row>
    <row r="5" customFormat="false" ht="13.5" hidden="false" customHeight="false" outlineLevel="0" collapsed="false">
      <c r="B5" s="108"/>
      <c r="C5" s="108"/>
      <c r="D5" s="108"/>
      <c r="E5" s="108"/>
      <c r="F5" s="108"/>
      <c r="G5" s="108"/>
      <c r="H5" s="108"/>
      <c r="I5" s="108"/>
      <c r="AC5" s="540" t="s">
        <v>319</v>
      </c>
    </row>
    <row r="6" customFormat="false" ht="12.75" hidden="false" customHeight="false" outlineLevel="0" collapsed="false">
      <c r="A6" s="541" t="s">
        <v>320</v>
      </c>
      <c r="B6" s="213"/>
      <c r="C6" s="213"/>
      <c r="D6" s="213"/>
      <c r="E6" s="213"/>
      <c r="F6" s="213" t="n">
        <f aca="false">CF!E6</f>
        <v>1</v>
      </c>
      <c r="G6" s="213" t="n">
        <f aca="false">CF!F6</f>
        <v>2</v>
      </c>
      <c r="H6" s="213" t="n">
        <f aca="false">CF!G6</f>
        <v>3</v>
      </c>
      <c r="I6" s="213" t="n">
        <f aca="false">CF!H6</f>
        <v>4</v>
      </c>
      <c r="J6" s="213" t="n">
        <f aca="false">CF!I6</f>
        <v>5</v>
      </c>
      <c r="K6" s="213" t="n">
        <f aca="false">CF!J6</f>
        <v>6</v>
      </c>
      <c r="L6" s="213" t="n">
        <f aca="false">CF!K6</f>
        <v>7</v>
      </c>
      <c r="M6" s="213" t="n">
        <f aca="false">CF!L6</f>
        <v>8</v>
      </c>
      <c r="N6" s="213" t="n">
        <f aca="false">CF!M6</f>
        <v>9</v>
      </c>
      <c r="O6" s="213" t="n">
        <f aca="false">CF!N6</f>
        <v>10</v>
      </c>
      <c r="P6" s="213" t="n">
        <f aca="false">CF!O6</f>
        <v>11</v>
      </c>
      <c r="Q6" s="213" t="n">
        <f aca="false">CF!P6</f>
        <v>12</v>
      </c>
      <c r="R6" s="213" t="n">
        <f aca="false">CF!Q6</f>
        <v>13</v>
      </c>
      <c r="S6" s="213" t="n">
        <f aca="false">CF!R6</f>
        <v>14</v>
      </c>
      <c r="T6" s="213" t="n">
        <f aca="false">CF!S6</f>
        <v>15</v>
      </c>
      <c r="U6" s="213" t="n">
        <f aca="false">CF!T6</f>
        <v>16</v>
      </c>
      <c r="V6" s="213" t="n">
        <f aca="false">CF!U6</f>
        <v>17</v>
      </c>
      <c r="W6" s="213" t="n">
        <f aca="false">CF!V6</f>
        <v>18</v>
      </c>
      <c r="X6" s="213" t="n">
        <f aca="false">CF!W6</f>
        <v>19</v>
      </c>
      <c r="Y6" s="213" t="n">
        <f aca="false">CF!X6</f>
        <v>20</v>
      </c>
      <c r="Z6" s="213" t="n">
        <f aca="false">CF!Y6</f>
        <v>21</v>
      </c>
      <c r="AA6" s="542"/>
      <c r="AB6" s="108"/>
      <c r="AC6" s="543" t="s">
        <v>507</v>
      </c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  <c r="IO6" s="108"/>
      <c r="IP6" s="108"/>
      <c r="IQ6" s="108"/>
      <c r="IR6" s="108"/>
      <c r="IS6" s="108"/>
      <c r="IT6" s="108"/>
      <c r="IU6" s="108"/>
      <c r="IV6" s="108"/>
      <c r="IW6" s="108"/>
    </row>
    <row r="7" customFormat="false" ht="13.5" hidden="false" customHeight="false" outlineLevel="0" collapsed="false">
      <c r="A7" s="544" t="s">
        <v>322</v>
      </c>
      <c r="B7" s="545"/>
      <c r="C7" s="219"/>
      <c r="D7" s="219"/>
      <c r="E7" s="546"/>
      <c r="F7" s="547" t="n">
        <f aca="false">CF!E7</f>
        <v>1999</v>
      </c>
      <c r="G7" s="547" t="n">
        <f aca="false">CF!F7</f>
        <v>2000</v>
      </c>
      <c r="H7" s="547" t="n">
        <f aca="false">CF!G7</f>
        <v>2001</v>
      </c>
      <c r="I7" s="547" t="n">
        <f aca="false">CF!H7</f>
        <v>2002</v>
      </c>
      <c r="J7" s="547" t="n">
        <f aca="false">CF!I7</f>
        <v>2003</v>
      </c>
      <c r="K7" s="547" t="n">
        <f aca="false">CF!J7</f>
        <v>2004</v>
      </c>
      <c r="L7" s="547" t="n">
        <f aca="false">CF!K7</f>
        <v>2005</v>
      </c>
      <c r="M7" s="547" t="n">
        <f aca="false">CF!L7</f>
        <v>2006</v>
      </c>
      <c r="N7" s="547" t="n">
        <f aca="false">CF!M7</f>
        <v>2007</v>
      </c>
      <c r="O7" s="547" t="n">
        <f aca="false">CF!N7</f>
        <v>2008</v>
      </c>
      <c r="P7" s="547" t="n">
        <f aca="false">CF!O7</f>
        <v>2009</v>
      </c>
      <c r="Q7" s="547" t="n">
        <f aca="false">CF!P7</f>
        <v>2010</v>
      </c>
      <c r="R7" s="547" t="n">
        <f aca="false">CF!Q7</f>
        <v>2011</v>
      </c>
      <c r="S7" s="547" t="n">
        <f aca="false">CF!R7</f>
        <v>2012</v>
      </c>
      <c r="T7" s="547" t="n">
        <f aca="false">CF!S7</f>
        <v>2013</v>
      </c>
      <c r="U7" s="547" t="n">
        <f aca="false">CF!T7</f>
        <v>2014</v>
      </c>
      <c r="V7" s="547" t="n">
        <f aca="false">CF!U7</f>
        <v>2015</v>
      </c>
      <c r="W7" s="547" t="n">
        <f aca="false">CF!V7</f>
        <v>2016</v>
      </c>
      <c r="X7" s="547" t="n">
        <f aca="false">CF!W7</f>
        <v>2017</v>
      </c>
      <c r="Y7" s="547" t="n">
        <f aca="false">CF!X7</f>
        <v>2018</v>
      </c>
      <c r="Z7" s="547" t="n">
        <f aca="false">CF!Y7</f>
        <v>2019</v>
      </c>
      <c r="AA7" s="548" t="s">
        <v>323</v>
      </c>
      <c r="AB7" s="108"/>
      <c r="AC7" s="77" t="n">
        <v>1</v>
      </c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  <c r="IO7" s="108"/>
      <c r="IP7" s="108"/>
      <c r="IQ7" s="108"/>
      <c r="IR7" s="108"/>
      <c r="IS7" s="108"/>
      <c r="IT7" s="108"/>
      <c r="IU7" s="108"/>
      <c r="IV7" s="108"/>
      <c r="IW7" s="108"/>
    </row>
    <row r="8" customFormat="false" ht="12.75" hidden="false" customHeight="false" outlineLevel="0" collapsed="false">
      <c r="A8" s="549"/>
      <c r="B8" s="550"/>
      <c r="C8" s="108"/>
      <c r="D8" s="108"/>
      <c r="E8" s="551"/>
      <c r="F8" s="551"/>
      <c r="G8" s="551"/>
      <c r="H8" s="551"/>
      <c r="I8" s="551"/>
      <c r="J8" s="551"/>
      <c r="K8" s="551"/>
      <c r="L8" s="551"/>
      <c r="M8" s="551"/>
      <c r="N8" s="551"/>
      <c r="O8" s="551"/>
      <c r="P8" s="551"/>
      <c r="Q8" s="551"/>
      <c r="R8" s="551"/>
      <c r="S8" s="551"/>
      <c r="T8" s="551"/>
      <c r="U8" s="551"/>
      <c r="V8" s="551"/>
      <c r="W8" s="551"/>
      <c r="X8" s="551"/>
      <c r="Y8" s="551"/>
      <c r="Z8" s="551"/>
      <c r="AA8" s="552"/>
      <c r="AB8" s="108"/>
      <c r="AC8" s="553" t="n">
        <f aca="false">AC7+1</f>
        <v>2</v>
      </c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  <c r="IU8" s="108"/>
      <c r="IV8" s="108"/>
      <c r="IW8" s="108"/>
    </row>
    <row r="9" customFormat="false" ht="12.75" hidden="false" customHeight="false" outlineLevel="0" collapsed="false">
      <c r="A9" s="72" t="s">
        <v>423</v>
      </c>
      <c r="B9" s="108"/>
      <c r="C9" s="108"/>
      <c r="D9" s="108"/>
      <c r="E9" s="108"/>
      <c r="F9" s="108" t="n">
        <f aca="false">CF!E9</f>
        <v>0</v>
      </c>
      <c r="G9" s="108" t="n">
        <f aca="false">CF!F9</f>
        <v>0</v>
      </c>
      <c r="H9" s="108" t="n">
        <f aca="false">CF!G9</f>
        <v>10</v>
      </c>
      <c r="I9" s="108" t="n">
        <f aca="false">CF!H9</f>
        <v>12</v>
      </c>
      <c r="J9" s="108" t="n">
        <f aca="false">CF!I9</f>
        <v>12</v>
      </c>
      <c r="K9" s="108" t="n">
        <f aca="false">CF!J9</f>
        <v>12</v>
      </c>
      <c r="L9" s="108" t="n">
        <f aca="false">CF!K9</f>
        <v>12</v>
      </c>
      <c r="M9" s="108" t="n">
        <f aca="false">CF!L9</f>
        <v>12</v>
      </c>
      <c r="N9" s="108" t="n">
        <f aca="false">CF!M9</f>
        <v>12</v>
      </c>
      <c r="O9" s="108" t="n">
        <f aca="false">CF!N9</f>
        <v>12</v>
      </c>
      <c r="P9" s="108" t="n">
        <f aca="false">CF!O9</f>
        <v>12</v>
      </c>
      <c r="Q9" s="108" t="n">
        <f aca="false">CF!P9</f>
        <v>12</v>
      </c>
      <c r="R9" s="108" t="n">
        <f aca="false">CF!Q9</f>
        <v>12</v>
      </c>
      <c r="S9" s="108" t="n">
        <f aca="false">CF!R9</f>
        <v>12</v>
      </c>
      <c r="T9" s="108" t="n">
        <f aca="false">CF!S9</f>
        <v>12</v>
      </c>
      <c r="U9" s="108" t="n">
        <f aca="false">CF!T9</f>
        <v>12</v>
      </c>
      <c r="V9" s="108" t="n">
        <f aca="false">CF!U9</f>
        <v>12</v>
      </c>
      <c r="W9" s="108" t="n">
        <f aca="false">CF!V9</f>
        <v>12</v>
      </c>
      <c r="X9" s="108" t="n">
        <f aca="false">CF!W9</f>
        <v>12</v>
      </c>
      <c r="Y9" s="108" t="n">
        <f aca="false">CF!X9</f>
        <v>12</v>
      </c>
      <c r="Z9" s="108" t="n">
        <f aca="false">CF!Y9</f>
        <v>4</v>
      </c>
      <c r="AA9" s="552" t="n">
        <f aca="false">CF!Z9</f>
        <v>218</v>
      </c>
      <c r="AB9" s="108"/>
      <c r="AC9" s="553" t="n">
        <f aca="false">AC8+1</f>
        <v>3</v>
      </c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  <c r="IU9" s="108"/>
      <c r="IV9" s="108"/>
      <c r="IW9" s="108"/>
    </row>
    <row r="10" customFormat="false" ht="12.75" hidden="false" customHeight="false" outlineLevel="0" collapsed="false">
      <c r="A10" s="554"/>
      <c r="B10" s="550"/>
      <c r="C10" s="108"/>
      <c r="D10" s="108"/>
      <c r="E10" s="551"/>
      <c r="F10" s="551"/>
      <c r="G10" s="551"/>
      <c r="H10" s="551"/>
      <c r="I10" s="551"/>
      <c r="J10" s="551"/>
      <c r="K10" s="551"/>
      <c r="L10" s="551"/>
      <c r="M10" s="551"/>
      <c r="N10" s="551"/>
      <c r="O10" s="551"/>
      <c r="P10" s="551"/>
      <c r="Q10" s="551"/>
      <c r="R10" s="551"/>
      <c r="S10" s="551"/>
      <c r="T10" s="551"/>
      <c r="U10" s="551"/>
      <c r="V10" s="551"/>
      <c r="W10" s="551"/>
      <c r="X10" s="551"/>
      <c r="Y10" s="551"/>
      <c r="Z10" s="551"/>
      <c r="AA10" s="552"/>
      <c r="AB10" s="108"/>
      <c r="AC10" s="553" t="n">
        <f aca="false">AC9+1</f>
        <v>4</v>
      </c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  <c r="IU10" s="108"/>
      <c r="IV10" s="108"/>
      <c r="IW10" s="108"/>
    </row>
    <row r="11" customFormat="false" ht="15.75" hidden="false" customHeight="false" outlineLevel="0" collapsed="false">
      <c r="A11" s="555" t="s">
        <v>508</v>
      </c>
      <c r="B11" s="108"/>
      <c r="C11" s="108"/>
      <c r="D11" s="108"/>
      <c r="E11" s="108"/>
      <c r="F11" s="556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552"/>
      <c r="AC11" s="553" t="n">
        <f aca="false">AC10+1</f>
        <v>5</v>
      </c>
    </row>
    <row r="12" customFormat="false" ht="12.75" hidden="false" customHeight="false" outlineLevel="0" collapsed="false">
      <c r="A12" s="72" t="s">
        <v>472</v>
      </c>
      <c r="B12" s="108"/>
      <c r="C12" s="108"/>
      <c r="D12" s="108"/>
      <c r="E12" s="108"/>
      <c r="F12" s="98" t="n">
        <v>0</v>
      </c>
      <c r="G12" s="557" t="n">
        <f aca="false">F16</f>
        <v>0</v>
      </c>
      <c r="H12" s="557" t="n">
        <f aca="false">G16</f>
        <v>0</v>
      </c>
      <c r="I12" s="557" t="n">
        <f aca="false">H16</f>
        <v>-4849.95618144266</v>
      </c>
      <c r="J12" s="557" t="n">
        <f aca="false">I16</f>
        <v>-14162.2399115488</v>
      </c>
      <c r="K12" s="557" t="n">
        <f aca="false">J16</f>
        <v>-23648.1387461587</v>
      </c>
      <c r="L12" s="557" t="n">
        <f aca="false">K16</f>
        <v>-28255.5339453955</v>
      </c>
      <c r="M12" s="557" t="n">
        <f aca="false">L16</f>
        <v>-31605.0776920621</v>
      </c>
      <c r="N12" s="557" t="n">
        <f aca="false">M16</f>
        <v>-33959.2662015804</v>
      </c>
      <c r="O12" s="557" t="n">
        <f aca="false">N16</f>
        <v>-35152.7627082595</v>
      </c>
      <c r="P12" s="557" t="n">
        <f aca="false">O16</f>
        <v>-34915.1209049397</v>
      </c>
      <c r="Q12" s="557" t="n">
        <f aca="false">P16</f>
        <v>-33771.4585512341</v>
      </c>
      <c r="R12" s="557" t="n">
        <f aca="false">Q16</f>
        <v>-31732.4704868702</v>
      </c>
      <c r="S12" s="557" t="n">
        <f aca="false">R16</f>
        <v>-28795.7831212089</v>
      </c>
      <c r="T12" s="557" t="n">
        <f aca="false">S16</f>
        <v>-24704.0460013683</v>
      </c>
      <c r="U12" s="557" t="n">
        <f aca="false">T16</f>
        <v>-20848.8191378128</v>
      </c>
      <c r="V12" s="557" t="n">
        <f aca="false">U16</f>
        <v>-15424.1116255605</v>
      </c>
      <c r="W12" s="557" t="n">
        <f aca="false">V16</f>
        <v>-9172.27567999704</v>
      </c>
      <c r="X12" s="557" t="n">
        <f aca="false">W16</f>
        <v>-2465.99839814895</v>
      </c>
      <c r="Y12" s="557" t="n">
        <f aca="false">X16</f>
        <v>0</v>
      </c>
      <c r="Z12" s="557" t="n">
        <f aca="false">Y16</f>
        <v>0</v>
      </c>
      <c r="AA12" s="558" t="n">
        <f aca="false">F12</f>
        <v>0</v>
      </c>
      <c r="AC12" s="553" t="n">
        <f aca="false">AC11+1</f>
        <v>6</v>
      </c>
    </row>
    <row r="13" customFormat="false" ht="12.75" hidden="false" customHeight="false" outlineLevel="0" collapsed="false">
      <c r="A13" s="72" t="s">
        <v>509</v>
      </c>
      <c r="B13" s="108"/>
      <c r="C13" s="108"/>
      <c r="D13" s="108"/>
      <c r="E13" s="108"/>
      <c r="F13" s="559" t="n">
        <f aca="false">CF!E60</f>
        <v>0</v>
      </c>
      <c r="G13" s="559" t="n">
        <f aca="false">CF!F60</f>
        <v>0</v>
      </c>
      <c r="H13" s="559" t="n">
        <f aca="false">CF!G60</f>
        <v>-4849.95618144266</v>
      </c>
      <c r="I13" s="559" t="n">
        <f aca="false">CF!H60</f>
        <v>-9312.2837301061</v>
      </c>
      <c r="J13" s="559" t="n">
        <f aca="false">CF!I60</f>
        <v>-9485.89883460989</v>
      </c>
      <c r="K13" s="559" t="n">
        <f aca="false">CF!J60</f>
        <v>-4607.39519923682</v>
      </c>
      <c r="L13" s="559" t="n">
        <f aca="false">CF!K60</f>
        <v>-3349.54374666664</v>
      </c>
      <c r="M13" s="559" t="n">
        <f aca="false">CF!L60</f>
        <v>-2354.1885095183</v>
      </c>
      <c r="N13" s="559" t="n">
        <f aca="false">CF!M60</f>
        <v>-1193.49650667905</v>
      </c>
      <c r="O13" s="559" t="n">
        <f aca="false">CF!N60</f>
        <v>237.641803319725</v>
      </c>
      <c r="P13" s="559" t="n">
        <f aca="false">CF!O60</f>
        <v>1143.66235370568</v>
      </c>
      <c r="Q13" s="559" t="n">
        <f aca="false">CF!P60</f>
        <v>2038.98806436386</v>
      </c>
      <c r="R13" s="559" t="n">
        <f aca="false">CF!Q60</f>
        <v>2936.68736566132</v>
      </c>
      <c r="S13" s="559" t="n">
        <f aca="false">CF!R60</f>
        <v>4091.73711984062</v>
      </c>
      <c r="T13" s="559" t="n">
        <f aca="false">CF!S60</f>
        <v>3855.22686355549</v>
      </c>
      <c r="U13" s="559" t="n">
        <f aca="false">CF!T60</f>
        <v>5424.70751225231</v>
      </c>
      <c r="V13" s="559" t="n">
        <f aca="false">CF!U60</f>
        <v>6251.83594556343</v>
      </c>
      <c r="W13" s="559" t="n">
        <f aca="false">CF!V60</f>
        <v>6706.27728184809</v>
      </c>
      <c r="X13" s="559" t="n">
        <f aca="false">CF!W60</f>
        <v>6616.35809972681</v>
      </c>
      <c r="Y13" s="559" t="n">
        <f aca="false">CF!X60</f>
        <v>7581.36886552416</v>
      </c>
      <c r="Z13" s="559" t="n">
        <f aca="false">CF!Y60</f>
        <v>2235.32024618146</v>
      </c>
      <c r="AA13" s="560" t="n">
        <f aca="false">SUM(F13:Z13)</f>
        <v>13967.0488132835</v>
      </c>
      <c r="AC13" s="553" t="n">
        <f aca="false">AC12+1</f>
        <v>7</v>
      </c>
    </row>
    <row r="14" customFormat="false" ht="12.75" hidden="false" customHeight="false" outlineLevel="0" collapsed="false">
      <c r="A14" s="72" t="s">
        <v>510</v>
      </c>
      <c r="B14" s="108"/>
      <c r="C14" s="108"/>
      <c r="D14" s="108"/>
      <c r="E14" s="108"/>
      <c r="F14" s="557" t="n">
        <f aca="false">SUM(F12:F13)</f>
        <v>0</v>
      </c>
      <c r="G14" s="557" t="n">
        <f aca="false">SUM(G12:G13)</f>
        <v>0</v>
      </c>
      <c r="H14" s="557" t="n">
        <f aca="false">SUM(H12:H13)</f>
        <v>-4849.95618144266</v>
      </c>
      <c r="I14" s="557" t="n">
        <f aca="false">SUM(I12:I13)</f>
        <v>-14162.2399115488</v>
      </c>
      <c r="J14" s="557" t="n">
        <f aca="false">SUM(J12:J13)</f>
        <v>-23648.1387461587</v>
      </c>
      <c r="K14" s="557" t="n">
        <f aca="false">SUM(K12:K13)</f>
        <v>-28255.5339453955</v>
      </c>
      <c r="L14" s="557" t="n">
        <f aca="false">SUM(L12:L13)</f>
        <v>-31605.0776920621</v>
      </c>
      <c r="M14" s="557" t="n">
        <f aca="false">SUM(M12:M13)</f>
        <v>-33959.2662015804</v>
      </c>
      <c r="N14" s="557" t="n">
        <f aca="false">SUM(N12:N13)</f>
        <v>-35152.7627082595</v>
      </c>
      <c r="O14" s="557" t="n">
        <f aca="false">SUM(O12:O13)</f>
        <v>-34915.1209049397</v>
      </c>
      <c r="P14" s="557" t="n">
        <f aca="false">SUM(P12:P13)</f>
        <v>-33771.4585512341</v>
      </c>
      <c r="Q14" s="557" t="n">
        <f aca="false">SUM(Q12:Q13)</f>
        <v>-31732.4704868702</v>
      </c>
      <c r="R14" s="557" t="n">
        <f aca="false">SUM(R12:R13)</f>
        <v>-28795.7831212089</v>
      </c>
      <c r="S14" s="557" t="n">
        <f aca="false">SUM(S12:S13)</f>
        <v>-24704.0460013683</v>
      </c>
      <c r="T14" s="557" t="n">
        <f aca="false">SUM(T12:T13)</f>
        <v>-20848.8191378128</v>
      </c>
      <c r="U14" s="557" t="n">
        <f aca="false">SUM(U12:U13)</f>
        <v>-15424.1116255605</v>
      </c>
      <c r="V14" s="557" t="n">
        <f aca="false">SUM(V12:V13)</f>
        <v>-9172.27567999704</v>
      </c>
      <c r="W14" s="557" t="n">
        <f aca="false">SUM(W12:W13)</f>
        <v>-2465.99839814895</v>
      </c>
      <c r="X14" s="557" t="n">
        <f aca="false">SUM(X12:X13)</f>
        <v>4150.35970157787</v>
      </c>
      <c r="Y14" s="557" t="n">
        <f aca="false">SUM(Y12:Y13)</f>
        <v>7581.36886552416</v>
      </c>
      <c r="Z14" s="557" t="n">
        <f aca="false">SUM(Z12:Z13)</f>
        <v>2235.32024618146</v>
      </c>
      <c r="AA14" s="558" t="n">
        <f aca="false">SUM(AA12:AA13)</f>
        <v>13967.0488132835</v>
      </c>
      <c r="AC14" s="553" t="n">
        <f aca="false">AC13+1</f>
        <v>8</v>
      </c>
    </row>
    <row r="15" customFormat="false" ht="12.75" hidden="false" customHeight="false" outlineLevel="0" collapsed="false">
      <c r="A15" s="72" t="s">
        <v>511</v>
      </c>
      <c r="B15" s="108"/>
      <c r="C15" s="108"/>
      <c r="D15" s="108"/>
      <c r="E15" s="108"/>
      <c r="F15" s="559" t="n">
        <f aca="false">F23</f>
        <v>-0</v>
      </c>
      <c r="G15" s="559" t="n">
        <f aca="false">G23</f>
        <v>-0</v>
      </c>
      <c r="H15" s="559" t="n">
        <f aca="false">H23</f>
        <v>0</v>
      </c>
      <c r="I15" s="559" t="n">
        <f aca="false">I23</f>
        <v>0</v>
      </c>
      <c r="J15" s="559" t="n">
        <f aca="false">J23</f>
        <v>0</v>
      </c>
      <c r="K15" s="559" t="n">
        <f aca="false">K23</f>
        <v>0</v>
      </c>
      <c r="L15" s="559" t="n">
        <f aca="false">L23</f>
        <v>0</v>
      </c>
      <c r="M15" s="559" t="n">
        <f aca="false">M23</f>
        <v>0</v>
      </c>
      <c r="N15" s="559" t="n">
        <f aca="false">N23</f>
        <v>0</v>
      </c>
      <c r="O15" s="559" t="n">
        <f aca="false">O23</f>
        <v>0</v>
      </c>
      <c r="P15" s="559" t="n">
        <f aca="false">P23</f>
        <v>0</v>
      </c>
      <c r="Q15" s="559" t="n">
        <f aca="false">Q23</f>
        <v>0</v>
      </c>
      <c r="R15" s="559" t="n">
        <f aca="false">R23</f>
        <v>0</v>
      </c>
      <c r="S15" s="559" t="n">
        <f aca="false">S23</f>
        <v>0</v>
      </c>
      <c r="T15" s="559" t="n">
        <f aca="false">T23</f>
        <v>0</v>
      </c>
      <c r="U15" s="559" t="n">
        <f aca="false">U23</f>
        <v>0</v>
      </c>
      <c r="V15" s="559" t="n">
        <f aca="false">V23</f>
        <v>0</v>
      </c>
      <c r="W15" s="559" t="n">
        <f aca="false">W23</f>
        <v>0</v>
      </c>
      <c r="X15" s="559" t="n">
        <f aca="false">X23</f>
        <v>-4150.35970157787</v>
      </c>
      <c r="Y15" s="559" t="n">
        <f aca="false">Y23</f>
        <v>-7581.36886552416</v>
      </c>
      <c r="Z15" s="559" t="n">
        <f aca="false">Z23</f>
        <v>-2235.32024618146</v>
      </c>
      <c r="AA15" s="560" t="n">
        <f aca="false">SUM(F15:Z15)</f>
        <v>-13967.0488132835</v>
      </c>
      <c r="AC15" s="553" t="n">
        <f aca="false">AC14+1</f>
        <v>9</v>
      </c>
    </row>
    <row r="16" customFormat="false" ht="12.75" hidden="false" customHeight="false" outlineLevel="0" collapsed="false">
      <c r="A16" s="72" t="s">
        <v>476</v>
      </c>
      <c r="B16" s="108"/>
      <c r="C16" s="108"/>
      <c r="D16" s="108"/>
      <c r="E16" s="108"/>
      <c r="F16" s="557" t="n">
        <f aca="false">SUM(F14:F15)</f>
        <v>0</v>
      </c>
      <c r="G16" s="557" t="n">
        <f aca="false">SUM(G14:G15)</f>
        <v>0</v>
      </c>
      <c r="H16" s="557" t="n">
        <f aca="false">SUM(H14:H15)</f>
        <v>-4849.95618144266</v>
      </c>
      <c r="I16" s="557" t="n">
        <f aca="false">SUM(I14:I15)</f>
        <v>-14162.2399115488</v>
      </c>
      <c r="J16" s="557" t="n">
        <f aca="false">SUM(J14:J15)</f>
        <v>-23648.1387461587</v>
      </c>
      <c r="K16" s="557" t="n">
        <f aca="false">SUM(K14:K15)</f>
        <v>-28255.5339453955</v>
      </c>
      <c r="L16" s="557" t="n">
        <f aca="false">SUM(L14:L15)</f>
        <v>-31605.0776920621</v>
      </c>
      <c r="M16" s="557" t="n">
        <f aca="false">SUM(M14:M15)</f>
        <v>-33959.2662015804</v>
      </c>
      <c r="N16" s="557" t="n">
        <f aca="false">SUM(N14:N15)</f>
        <v>-35152.7627082595</v>
      </c>
      <c r="O16" s="557" t="n">
        <f aca="false">SUM(O14:O15)</f>
        <v>-34915.1209049397</v>
      </c>
      <c r="P16" s="557" t="n">
        <f aca="false">SUM(P14:P15)</f>
        <v>-33771.4585512341</v>
      </c>
      <c r="Q16" s="557" t="n">
        <f aca="false">SUM(Q14:Q15)</f>
        <v>-31732.4704868702</v>
      </c>
      <c r="R16" s="557" t="n">
        <f aca="false">SUM(R14:R15)</f>
        <v>-28795.7831212089</v>
      </c>
      <c r="S16" s="557" t="n">
        <f aca="false">SUM(S14:S15)</f>
        <v>-24704.0460013683</v>
      </c>
      <c r="T16" s="557" t="n">
        <f aca="false">SUM(T14:T15)</f>
        <v>-20848.8191378128</v>
      </c>
      <c r="U16" s="557" t="n">
        <f aca="false">SUM(U14:U15)</f>
        <v>-15424.1116255605</v>
      </c>
      <c r="V16" s="557" t="n">
        <f aca="false">SUM(V14:V15)</f>
        <v>-9172.27567999704</v>
      </c>
      <c r="W16" s="557" t="n">
        <f aca="false">SUM(W14:W15)</f>
        <v>-2465.99839814895</v>
      </c>
      <c r="X16" s="557" t="n">
        <f aca="false">SUM(X14:X15)</f>
        <v>0</v>
      </c>
      <c r="Y16" s="557" t="n">
        <f aca="false">SUM(Y14:Y15)</f>
        <v>0</v>
      </c>
      <c r="Z16" s="557" t="n">
        <f aca="false">SUM(Z14:Z15)</f>
        <v>0</v>
      </c>
      <c r="AA16" s="558" t="n">
        <f aca="false">SUM(AA14:AA15)</f>
        <v>0</v>
      </c>
      <c r="AC16" s="553" t="n">
        <f aca="false">AC15+1</f>
        <v>10</v>
      </c>
    </row>
    <row r="17" customFormat="false" ht="12.75" hidden="false" customHeight="false" outlineLevel="0" collapsed="false">
      <c r="A17" s="82"/>
      <c r="B17" s="66"/>
      <c r="C17" s="66"/>
      <c r="D17" s="66"/>
      <c r="E17" s="66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561"/>
      <c r="AB17" s="562"/>
      <c r="AC17" s="553" t="n">
        <f aca="false">AC16+1</f>
        <v>11</v>
      </c>
      <c r="AD17" s="562"/>
      <c r="AE17" s="562"/>
      <c r="AF17" s="562"/>
      <c r="AG17" s="562"/>
      <c r="AH17" s="562"/>
      <c r="AI17" s="562"/>
      <c r="AJ17" s="562"/>
      <c r="AK17" s="562"/>
      <c r="AL17" s="562"/>
      <c r="AM17" s="562"/>
      <c r="AN17" s="562"/>
      <c r="AO17" s="562"/>
      <c r="AP17" s="562"/>
      <c r="AQ17" s="562"/>
      <c r="AR17" s="562"/>
      <c r="AS17" s="562"/>
      <c r="AT17" s="562"/>
      <c r="AU17" s="562"/>
      <c r="AV17" s="562"/>
      <c r="AW17" s="562"/>
      <c r="AX17" s="562"/>
      <c r="AY17" s="562"/>
      <c r="AZ17" s="562"/>
      <c r="BA17" s="562"/>
      <c r="BB17" s="562"/>
      <c r="BC17" s="562"/>
      <c r="BD17" s="562"/>
      <c r="BE17" s="562"/>
      <c r="BF17" s="562"/>
      <c r="BG17" s="562"/>
      <c r="BH17" s="562"/>
      <c r="BI17" s="562"/>
      <c r="BJ17" s="562"/>
      <c r="BK17" s="562"/>
      <c r="BL17" s="562"/>
      <c r="BM17" s="562"/>
      <c r="BN17" s="562"/>
      <c r="BO17" s="562"/>
      <c r="BP17" s="562"/>
      <c r="BQ17" s="562"/>
      <c r="BR17" s="562"/>
      <c r="BS17" s="562"/>
      <c r="BT17" s="562"/>
      <c r="BU17" s="562"/>
      <c r="BV17" s="562"/>
      <c r="BW17" s="562"/>
      <c r="BX17" s="562"/>
      <c r="BY17" s="562"/>
      <c r="BZ17" s="562"/>
      <c r="CA17" s="562"/>
      <c r="CB17" s="562"/>
      <c r="CC17" s="562"/>
      <c r="CD17" s="562"/>
      <c r="CE17" s="562"/>
      <c r="CF17" s="562"/>
      <c r="CG17" s="562"/>
      <c r="CH17" s="562"/>
      <c r="CI17" s="562"/>
      <c r="CJ17" s="562"/>
      <c r="CK17" s="562"/>
      <c r="CL17" s="562"/>
      <c r="CM17" s="562"/>
      <c r="CN17" s="562"/>
      <c r="CO17" s="562"/>
      <c r="CP17" s="562"/>
      <c r="CQ17" s="562"/>
      <c r="CR17" s="562"/>
      <c r="CS17" s="562"/>
      <c r="CT17" s="562"/>
      <c r="CU17" s="562"/>
      <c r="CV17" s="562"/>
      <c r="CW17" s="562"/>
      <c r="CX17" s="562"/>
      <c r="CY17" s="562"/>
      <c r="CZ17" s="562"/>
      <c r="DA17" s="562"/>
      <c r="DB17" s="562"/>
      <c r="DC17" s="562"/>
      <c r="DD17" s="562"/>
      <c r="DE17" s="562"/>
      <c r="DF17" s="562"/>
      <c r="DG17" s="562"/>
      <c r="DH17" s="562"/>
      <c r="DI17" s="562"/>
      <c r="DJ17" s="562"/>
      <c r="DK17" s="562"/>
      <c r="DL17" s="562"/>
      <c r="DM17" s="562"/>
      <c r="DN17" s="562"/>
      <c r="DO17" s="562"/>
      <c r="DP17" s="562"/>
      <c r="DQ17" s="562"/>
      <c r="DR17" s="562"/>
      <c r="DS17" s="562"/>
      <c r="DT17" s="562"/>
      <c r="DU17" s="562"/>
      <c r="DV17" s="562"/>
      <c r="DW17" s="562"/>
      <c r="DX17" s="562"/>
      <c r="DY17" s="562"/>
      <c r="DZ17" s="562"/>
      <c r="EA17" s="562"/>
      <c r="EB17" s="562"/>
      <c r="EC17" s="562"/>
      <c r="ED17" s="562"/>
      <c r="EE17" s="562"/>
      <c r="EF17" s="562"/>
      <c r="EG17" s="562"/>
      <c r="EH17" s="562"/>
      <c r="EI17" s="562"/>
      <c r="EJ17" s="562"/>
      <c r="EK17" s="562"/>
      <c r="EL17" s="562"/>
      <c r="EM17" s="562"/>
      <c r="EN17" s="562"/>
      <c r="EO17" s="562"/>
      <c r="EP17" s="562"/>
      <c r="EQ17" s="562"/>
      <c r="ER17" s="562"/>
      <c r="ES17" s="562"/>
      <c r="ET17" s="562"/>
      <c r="EU17" s="562"/>
      <c r="EV17" s="562"/>
      <c r="EW17" s="562"/>
      <c r="EX17" s="562"/>
      <c r="EY17" s="562"/>
      <c r="EZ17" s="562"/>
      <c r="FA17" s="562"/>
      <c r="FB17" s="562"/>
      <c r="FC17" s="562"/>
      <c r="FD17" s="562"/>
      <c r="FE17" s="562"/>
      <c r="FF17" s="562"/>
      <c r="FG17" s="562"/>
      <c r="FH17" s="562"/>
      <c r="FI17" s="562"/>
      <c r="FJ17" s="562"/>
      <c r="FK17" s="562"/>
      <c r="FL17" s="562"/>
      <c r="FM17" s="562"/>
      <c r="FN17" s="562"/>
      <c r="FO17" s="562"/>
      <c r="FP17" s="562"/>
      <c r="FQ17" s="562"/>
      <c r="FR17" s="562"/>
      <c r="FS17" s="562"/>
      <c r="FT17" s="562"/>
      <c r="FU17" s="562"/>
      <c r="FV17" s="562"/>
      <c r="FW17" s="562"/>
      <c r="FX17" s="562"/>
      <c r="FY17" s="562"/>
      <c r="FZ17" s="562"/>
      <c r="GA17" s="562"/>
      <c r="GB17" s="562"/>
      <c r="GC17" s="562"/>
      <c r="GD17" s="562"/>
      <c r="GE17" s="562"/>
      <c r="GF17" s="562"/>
      <c r="GG17" s="562"/>
      <c r="GH17" s="562"/>
      <c r="GI17" s="562"/>
      <c r="GJ17" s="562"/>
      <c r="GK17" s="562"/>
      <c r="GL17" s="562"/>
      <c r="GM17" s="562"/>
      <c r="GN17" s="562"/>
      <c r="GO17" s="562"/>
      <c r="GP17" s="562"/>
      <c r="GQ17" s="562"/>
      <c r="GR17" s="562"/>
      <c r="GS17" s="562"/>
      <c r="GT17" s="562"/>
      <c r="GU17" s="562"/>
      <c r="GV17" s="562"/>
      <c r="GW17" s="562"/>
      <c r="GX17" s="562"/>
      <c r="GY17" s="562"/>
      <c r="GZ17" s="562"/>
      <c r="HA17" s="562"/>
      <c r="HB17" s="562"/>
      <c r="HC17" s="562"/>
      <c r="HD17" s="562"/>
      <c r="HE17" s="562"/>
      <c r="HF17" s="562"/>
      <c r="HG17" s="562"/>
      <c r="HH17" s="562"/>
      <c r="HI17" s="562"/>
      <c r="HJ17" s="562"/>
      <c r="HK17" s="562"/>
      <c r="HL17" s="562"/>
      <c r="HM17" s="562"/>
      <c r="HN17" s="562"/>
      <c r="HO17" s="562"/>
      <c r="HP17" s="562"/>
      <c r="HQ17" s="562"/>
      <c r="HR17" s="562"/>
      <c r="HS17" s="562"/>
      <c r="HT17" s="562"/>
      <c r="HU17" s="562"/>
      <c r="HV17" s="562"/>
      <c r="HW17" s="562"/>
      <c r="HX17" s="562"/>
      <c r="HY17" s="562"/>
      <c r="HZ17" s="562"/>
      <c r="IA17" s="562"/>
      <c r="IB17" s="562"/>
      <c r="IC17" s="562"/>
      <c r="ID17" s="562"/>
      <c r="IE17" s="562"/>
      <c r="IF17" s="562"/>
      <c r="IG17" s="562"/>
      <c r="IH17" s="562"/>
      <c r="II17" s="562"/>
      <c r="IJ17" s="562"/>
      <c r="IK17" s="562"/>
      <c r="IL17" s="562"/>
      <c r="IM17" s="562"/>
      <c r="IN17" s="562"/>
      <c r="IO17" s="562"/>
      <c r="IP17" s="562"/>
      <c r="IQ17" s="562"/>
      <c r="IR17" s="562"/>
      <c r="IS17" s="562"/>
      <c r="IT17" s="562"/>
      <c r="IU17" s="562"/>
      <c r="IV17" s="562"/>
      <c r="IW17" s="562"/>
    </row>
    <row r="18" customFormat="false" ht="15.75" hidden="false" customHeight="false" outlineLevel="0" collapsed="false">
      <c r="A18" s="555" t="s">
        <v>512</v>
      </c>
      <c r="B18" s="108"/>
      <c r="C18" s="108"/>
      <c r="D18" s="108"/>
      <c r="E18" s="108"/>
      <c r="F18" s="556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552"/>
      <c r="AC18" s="553" t="n">
        <f aca="false">AC17+1</f>
        <v>12</v>
      </c>
    </row>
    <row r="19" customFormat="false" ht="12.75" hidden="false" customHeight="false" outlineLevel="0" collapsed="false">
      <c r="A19" s="72" t="s">
        <v>472</v>
      </c>
      <c r="B19" s="108"/>
      <c r="C19" s="108"/>
      <c r="D19" s="108"/>
      <c r="E19" s="108"/>
      <c r="F19" s="98" t="n">
        <v>0</v>
      </c>
      <c r="G19" s="557" t="n">
        <f aca="false">F26</f>
        <v>0</v>
      </c>
      <c r="H19" s="557" t="n">
        <f aca="false">G26</f>
        <v>0</v>
      </c>
      <c r="I19" s="557" t="n">
        <f aca="false">H26</f>
        <v>0</v>
      </c>
      <c r="J19" s="557" t="n">
        <f aca="false">I26</f>
        <v>0</v>
      </c>
      <c r="K19" s="557" t="n">
        <f aca="false">J26</f>
        <v>0</v>
      </c>
      <c r="L19" s="557" t="n">
        <f aca="false">K26</f>
        <v>0</v>
      </c>
      <c r="M19" s="557" t="n">
        <f aca="false">L26</f>
        <v>0</v>
      </c>
      <c r="N19" s="557" t="n">
        <f aca="false">M26</f>
        <v>0</v>
      </c>
      <c r="O19" s="557" t="n">
        <f aca="false">N26</f>
        <v>0</v>
      </c>
      <c r="P19" s="557" t="n">
        <f aca="false">O26</f>
        <v>0</v>
      </c>
      <c r="Q19" s="557" t="n">
        <f aca="false">P26</f>
        <v>0</v>
      </c>
      <c r="R19" s="557" t="n">
        <f aca="false">Q26</f>
        <v>0</v>
      </c>
      <c r="S19" s="557" t="n">
        <f aca="false">R26</f>
        <v>0</v>
      </c>
      <c r="T19" s="557" t="n">
        <f aca="false">S26</f>
        <v>0</v>
      </c>
      <c r="U19" s="557" t="n">
        <f aca="false">T26</f>
        <v>0</v>
      </c>
      <c r="V19" s="557" t="n">
        <f aca="false">U26</f>
        <v>0</v>
      </c>
      <c r="W19" s="557" t="n">
        <f aca="false">V26</f>
        <v>0</v>
      </c>
      <c r="X19" s="557" t="n">
        <f aca="false">W26</f>
        <v>0</v>
      </c>
      <c r="Y19" s="557" t="n">
        <f aca="false">X26</f>
        <v>0</v>
      </c>
      <c r="Z19" s="557" t="n">
        <f aca="false">Y26</f>
        <v>0</v>
      </c>
      <c r="AA19" s="558" t="n">
        <f aca="false">F19</f>
        <v>0</v>
      </c>
      <c r="AC19" s="553" t="n">
        <f aca="false">AC18+1</f>
        <v>13</v>
      </c>
    </row>
    <row r="20" customFormat="false" ht="12.75" hidden="false" customHeight="false" outlineLevel="0" collapsed="false">
      <c r="A20" s="72" t="s">
        <v>513</v>
      </c>
      <c r="B20" s="108"/>
      <c r="C20" s="108"/>
      <c r="D20" s="108"/>
      <c r="E20" s="108"/>
      <c r="F20" s="557" t="n">
        <f aca="false">-E25</f>
        <v>-0</v>
      </c>
      <c r="G20" s="557" t="n">
        <f aca="false">-F25</f>
        <v>0</v>
      </c>
      <c r="H20" s="557" t="n">
        <f aca="false">-G25</f>
        <v>0</v>
      </c>
      <c r="I20" s="557" t="n">
        <f aca="false">-H25</f>
        <v>417.210678711196</v>
      </c>
      <c r="J20" s="557" t="n">
        <f aca="false">-I25</f>
        <v>-4676.09415107926</v>
      </c>
      <c r="K20" s="557" t="n">
        <f aca="false">-J25</f>
        <v>-10864.2335286426</v>
      </c>
      <c r="L20" s="557" t="n">
        <f aca="false">-K25</f>
        <v>-15813.4341299119</v>
      </c>
      <c r="M20" s="557" t="n">
        <f aca="false">-L25</f>
        <v>-21132.8370256454</v>
      </c>
      <c r="N20" s="557" t="n">
        <f aca="false">-M25</f>
        <v>-26560.4486231395</v>
      </c>
      <c r="O20" s="557" t="n">
        <f aca="false">-N25</f>
        <v>-31610.7368694332</v>
      </c>
      <c r="P20" s="557" t="n">
        <f aca="false">-O25</f>
        <v>-33404.6421756175</v>
      </c>
      <c r="Q20" s="557" t="n">
        <f aca="false">-P25</f>
        <v>-32502.7801061717</v>
      </c>
      <c r="R20" s="557" t="n">
        <f aca="false">-Q25</f>
        <v>-31103.9402073406</v>
      </c>
      <c r="S20" s="557" t="n">
        <f aca="false">-R25</f>
        <v>-30065.5610388681</v>
      </c>
      <c r="T20" s="557" t="n">
        <f aca="false">-S25</f>
        <v>-29363.8493826439</v>
      </c>
      <c r="U20" s="557" t="n">
        <f aca="false">-T25</f>
        <v>-25399.7720763136</v>
      </c>
      <c r="V20" s="557" t="n">
        <f aca="false">-U25</f>
        <v>-20218.7767557272</v>
      </c>
      <c r="W20" s="557" t="n">
        <f aca="false">-V25</f>
        <v>-12413.6702956259</v>
      </c>
      <c r="X20" s="557" t="n">
        <f aca="false">-W25</f>
        <v>627.090600496213</v>
      </c>
      <c r="Y20" s="557" t="n">
        <f aca="false">-X25</f>
        <v>9844.21632092313</v>
      </c>
      <c r="Z20" s="557" t="n">
        <f aca="false">-Y25</f>
        <v>16164.8165531078</v>
      </c>
      <c r="AA20" s="558" t="n">
        <f aca="false">SUM(F20:Z20)</f>
        <v>-298077.442212922</v>
      </c>
      <c r="AC20" s="553" t="n">
        <f aca="false">AC19+1</f>
        <v>14</v>
      </c>
    </row>
    <row r="21" customFormat="false" ht="12.75" hidden="false" customHeight="false" outlineLevel="0" collapsed="false">
      <c r="A21" s="563" t="s">
        <v>514</v>
      </c>
      <c r="B21" s="438"/>
      <c r="C21" s="438"/>
      <c r="D21" s="438"/>
      <c r="E21" s="438"/>
      <c r="F21" s="445" t="n">
        <f aca="false">CF!E73</f>
        <v>0</v>
      </c>
      <c r="G21" s="445" t="n">
        <f aca="false">CF!F73</f>
        <v>0</v>
      </c>
      <c r="H21" s="445" t="n">
        <f aca="false">CF!G73</f>
        <v>417.210678711196</v>
      </c>
      <c r="I21" s="445" t="n">
        <f aca="false">CF!H73</f>
        <v>-5093.30482979046</v>
      </c>
      <c r="J21" s="445" t="n">
        <f aca="false">CF!I73</f>
        <v>-6188.13937756332</v>
      </c>
      <c r="K21" s="445" t="n">
        <f aca="false">CF!J73</f>
        <v>-4949.2006012693</v>
      </c>
      <c r="L21" s="445" t="n">
        <f aca="false">CF!K73</f>
        <v>-5319.40289573351</v>
      </c>
      <c r="M21" s="445" t="n">
        <f aca="false">CF!L73</f>
        <v>-5427.61159749414</v>
      </c>
      <c r="N21" s="445" t="n">
        <f aca="false">CF!M73</f>
        <v>-5050.28824629369</v>
      </c>
      <c r="O21" s="445" t="n">
        <f aca="false">CF!N73</f>
        <v>-1793.90530618424</v>
      </c>
      <c r="P21" s="445" t="n">
        <f aca="false">CF!O73</f>
        <v>901.862069445762</v>
      </c>
      <c r="Q21" s="445" t="n">
        <f aca="false">CF!P73</f>
        <v>1398.83989883108</v>
      </c>
      <c r="R21" s="445" t="n">
        <f aca="false">CF!Q73</f>
        <v>1038.37916847248</v>
      </c>
      <c r="S21" s="445" t="n">
        <f aca="false">CF!R73</f>
        <v>701.711656224285</v>
      </c>
      <c r="T21" s="445" t="n">
        <f aca="false">CF!S73</f>
        <v>3964.07730633029</v>
      </c>
      <c r="U21" s="445" t="n">
        <f aca="false">CF!T73</f>
        <v>5180.99532058638</v>
      </c>
      <c r="V21" s="445" t="n">
        <f aca="false">CF!U73</f>
        <v>7805.10646010131</v>
      </c>
      <c r="W21" s="445" t="n">
        <f aca="false">CF!V73</f>
        <v>13040.7608961221</v>
      </c>
      <c r="X21" s="445" t="n">
        <f aca="false">CF!W73</f>
        <v>13367.4854220048</v>
      </c>
      <c r="Y21" s="445" t="n">
        <f aca="false">CF!X73</f>
        <v>13901.9690977088</v>
      </c>
      <c r="Z21" s="445" t="n">
        <f aca="false">CF!Y73</f>
        <v>4342.186990243</v>
      </c>
      <c r="AA21" s="446" t="n">
        <f aca="false">SUM(F21:Z21)</f>
        <v>32238.7321104528</v>
      </c>
      <c r="AB21" s="443"/>
      <c r="AC21" s="564" t="n">
        <f aca="false">AC20+1</f>
        <v>15</v>
      </c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3"/>
      <c r="AX21" s="443"/>
      <c r="AY21" s="443"/>
      <c r="AZ21" s="443"/>
      <c r="BA21" s="443"/>
      <c r="BB21" s="443"/>
      <c r="BC21" s="443"/>
      <c r="BD21" s="443"/>
      <c r="BE21" s="443"/>
      <c r="BF21" s="443"/>
      <c r="BG21" s="443"/>
      <c r="BH21" s="443"/>
      <c r="BI21" s="443"/>
      <c r="BJ21" s="443"/>
      <c r="BK21" s="443"/>
      <c r="BL21" s="443"/>
      <c r="BM21" s="443"/>
      <c r="BN21" s="443"/>
      <c r="BO21" s="443"/>
      <c r="BP21" s="443"/>
      <c r="BQ21" s="443"/>
      <c r="BR21" s="443"/>
      <c r="BS21" s="443"/>
      <c r="BT21" s="443"/>
      <c r="BU21" s="443"/>
      <c r="BV21" s="443"/>
      <c r="BW21" s="443"/>
      <c r="BX21" s="443"/>
      <c r="BY21" s="443"/>
      <c r="BZ21" s="443"/>
      <c r="CA21" s="443"/>
      <c r="CB21" s="443"/>
      <c r="CC21" s="443"/>
      <c r="CD21" s="443"/>
      <c r="CE21" s="443"/>
      <c r="CF21" s="443"/>
      <c r="CG21" s="443"/>
      <c r="CH21" s="443"/>
      <c r="CI21" s="443"/>
      <c r="CJ21" s="443"/>
      <c r="CK21" s="443"/>
      <c r="CL21" s="443"/>
      <c r="CM21" s="443"/>
      <c r="CN21" s="443"/>
      <c r="CO21" s="443"/>
      <c r="CP21" s="443"/>
      <c r="CQ21" s="443"/>
      <c r="CR21" s="443"/>
      <c r="CS21" s="443"/>
      <c r="CT21" s="443"/>
      <c r="CU21" s="443"/>
      <c r="CV21" s="443"/>
      <c r="CW21" s="443"/>
      <c r="CX21" s="443"/>
      <c r="CY21" s="443"/>
      <c r="CZ21" s="443"/>
      <c r="DA21" s="443"/>
      <c r="DB21" s="443"/>
      <c r="DC21" s="443"/>
      <c r="DD21" s="443"/>
      <c r="DE21" s="443"/>
      <c r="DF21" s="443"/>
      <c r="DG21" s="443"/>
      <c r="DH21" s="443"/>
      <c r="DI21" s="443"/>
      <c r="DJ21" s="443"/>
      <c r="DK21" s="443"/>
      <c r="DL21" s="443"/>
      <c r="DM21" s="443"/>
      <c r="DN21" s="443"/>
      <c r="DO21" s="443"/>
      <c r="DP21" s="443"/>
      <c r="DQ21" s="443"/>
      <c r="DR21" s="443"/>
      <c r="DS21" s="443"/>
      <c r="DT21" s="443"/>
      <c r="DU21" s="443"/>
      <c r="DV21" s="443"/>
      <c r="DW21" s="443"/>
      <c r="DX21" s="443"/>
      <c r="DY21" s="443"/>
      <c r="DZ21" s="443"/>
      <c r="EA21" s="443"/>
      <c r="EB21" s="443"/>
      <c r="EC21" s="443"/>
      <c r="ED21" s="443"/>
      <c r="EE21" s="443"/>
      <c r="EF21" s="443"/>
      <c r="EG21" s="443"/>
      <c r="EH21" s="443"/>
      <c r="EI21" s="443"/>
      <c r="EJ21" s="443"/>
      <c r="EK21" s="443"/>
      <c r="EL21" s="443"/>
      <c r="EM21" s="443"/>
      <c r="EN21" s="443"/>
      <c r="EO21" s="443"/>
      <c r="EP21" s="443"/>
      <c r="EQ21" s="443"/>
      <c r="ER21" s="443"/>
      <c r="ES21" s="443"/>
      <c r="ET21" s="443"/>
      <c r="EU21" s="443"/>
      <c r="EV21" s="443"/>
      <c r="EW21" s="443"/>
      <c r="EX21" s="443"/>
      <c r="EY21" s="443"/>
      <c r="EZ21" s="443"/>
      <c r="FA21" s="443"/>
      <c r="FB21" s="443"/>
      <c r="FC21" s="443"/>
      <c r="FD21" s="443"/>
      <c r="FE21" s="443"/>
      <c r="FF21" s="443"/>
      <c r="FG21" s="443"/>
      <c r="FH21" s="443"/>
      <c r="FI21" s="443"/>
      <c r="FJ21" s="443"/>
      <c r="FK21" s="443"/>
      <c r="FL21" s="443"/>
      <c r="FM21" s="443"/>
      <c r="FN21" s="443"/>
      <c r="FO21" s="443"/>
      <c r="FP21" s="443"/>
      <c r="FQ21" s="443"/>
      <c r="FR21" s="443"/>
      <c r="FS21" s="443"/>
      <c r="FT21" s="443"/>
      <c r="FU21" s="443"/>
      <c r="FV21" s="443"/>
      <c r="FW21" s="443"/>
      <c r="FX21" s="443"/>
      <c r="FY21" s="443"/>
      <c r="FZ21" s="443"/>
      <c r="GA21" s="443"/>
      <c r="GB21" s="443"/>
      <c r="GC21" s="443"/>
      <c r="GD21" s="443"/>
      <c r="GE21" s="443"/>
      <c r="GF21" s="443"/>
      <c r="GG21" s="443"/>
      <c r="GH21" s="443"/>
      <c r="GI21" s="443"/>
      <c r="GJ21" s="443"/>
      <c r="GK21" s="443"/>
      <c r="GL21" s="443"/>
      <c r="GM21" s="443"/>
      <c r="GN21" s="443"/>
      <c r="GO21" s="443"/>
      <c r="GP21" s="443"/>
      <c r="GQ21" s="443"/>
      <c r="GR21" s="443"/>
      <c r="GS21" s="443"/>
      <c r="GT21" s="443"/>
      <c r="GU21" s="443"/>
      <c r="GV21" s="443"/>
      <c r="GW21" s="443"/>
      <c r="GX21" s="443"/>
      <c r="GY21" s="443"/>
      <c r="GZ21" s="443"/>
      <c r="HA21" s="443"/>
      <c r="HB21" s="443"/>
      <c r="HC21" s="443"/>
      <c r="HD21" s="443"/>
      <c r="HE21" s="443"/>
      <c r="HF21" s="443"/>
      <c r="HG21" s="443"/>
      <c r="HH21" s="443"/>
      <c r="HI21" s="443"/>
      <c r="HJ21" s="443"/>
      <c r="HK21" s="443"/>
      <c r="HL21" s="443"/>
      <c r="HM21" s="443"/>
      <c r="HN21" s="443"/>
      <c r="HO21" s="443"/>
      <c r="HP21" s="443"/>
      <c r="HQ21" s="443"/>
      <c r="HR21" s="443"/>
      <c r="HS21" s="443"/>
      <c r="HT21" s="443"/>
      <c r="HU21" s="443"/>
      <c r="HV21" s="443"/>
      <c r="HW21" s="443"/>
      <c r="HX21" s="443"/>
      <c r="HY21" s="443"/>
      <c r="HZ21" s="443"/>
      <c r="IA21" s="443"/>
      <c r="IB21" s="443"/>
      <c r="IC21" s="443"/>
      <c r="ID21" s="443"/>
      <c r="IE21" s="443"/>
      <c r="IF21" s="443"/>
      <c r="IG21" s="443"/>
      <c r="IH21" s="443"/>
      <c r="II21" s="443"/>
      <c r="IJ21" s="443"/>
      <c r="IK21" s="443"/>
      <c r="IL21" s="443"/>
      <c r="IM21" s="443"/>
      <c r="IN21" s="443"/>
      <c r="IO21" s="443"/>
      <c r="IP21" s="443"/>
      <c r="IQ21" s="443"/>
      <c r="IR21" s="443"/>
      <c r="IS21" s="443"/>
      <c r="IT21" s="443"/>
      <c r="IU21" s="443"/>
      <c r="IV21" s="443"/>
      <c r="IW21" s="443"/>
    </row>
    <row r="22" customFormat="false" ht="12.75" hidden="false" customHeight="false" outlineLevel="0" collapsed="false">
      <c r="A22" s="72" t="s">
        <v>515</v>
      </c>
      <c r="B22" s="108"/>
      <c r="C22" s="108"/>
      <c r="D22" s="108"/>
      <c r="E22" s="108"/>
      <c r="F22" s="557" t="n">
        <f aca="false">SUM(F19:F21)</f>
        <v>0</v>
      </c>
      <c r="G22" s="557" t="n">
        <f aca="false">SUM(G19:G21)</f>
        <v>0</v>
      </c>
      <c r="H22" s="557" t="n">
        <f aca="false">SUM(H19:H21)</f>
        <v>417.210678711196</v>
      </c>
      <c r="I22" s="557" t="n">
        <f aca="false">SUM(I19:I21)</f>
        <v>-4676.09415107926</v>
      </c>
      <c r="J22" s="557" t="n">
        <f aca="false">SUM(J19:J21)</f>
        <v>-10864.2335286426</v>
      </c>
      <c r="K22" s="557" t="n">
        <f aca="false">SUM(K19:K21)</f>
        <v>-15813.4341299119</v>
      </c>
      <c r="L22" s="557" t="n">
        <f aca="false">SUM(L19:L21)</f>
        <v>-21132.8370256454</v>
      </c>
      <c r="M22" s="557" t="n">
        <f aca="false">SUM(M19:M21)</f>
        <v>-26560.4486231395</v>
      </c>
      <c r="N22" s="557" t="n">
        <f aca="false">SUM(N19:N21)</f>
        <v>-31610.7368694332</v>
      </c>
      <c r="O22" s="557" t="n">
        <f aca="false">SUM(O19:O21)</f>
        <v>-33404.6421756175</v>
      </c>
      <c r="P22" s="557" t="n">
        <f aca="false">SUM(P19:P21)</f>
        <v>-32502.7801061717</v>
      </c>
      <c r="Q22" s="557" t="n">
        <f aca="false">SUM(Q19:Q21)</f>
        <v>-31103.9402073406</v>
      </c>
      <c r="R22" s="557" t="n">
        <f aca="false">SUM(R19:R21)</f>
        <v>-30065.5610388681</v>
      </c>
      <c r="S22" s="557" t="n">
        <f aca="false">SUM(S19:S21)</f>
        <v>-29363.8493826439</v>
      </c>
      <c r="T22" s="557" t="n">
        <f aca="false">SUM(T19:T21)</f>
        <v>-25399.7720763136</v>
      </c>
      <c r="U22" s="557" t="n">
        <f aca="false">SUM(U19:U21)</f>
        <v>-20218.7767557272</v>
      </c>
      <c r="V22" s="557" t="n">
        <f aca="false">SUM(V19:V21)</f>
        <v>-12413.6702956259</v>
      </c>
      <c r="W22" s="557" t="n">
        <f aca="false">SUM(W19:W21)</f>
        <v>627.090600496213</v>
      </c>
      <c r="X22" s="557" t="n">
        <f aca="false">SUM(X19:X21)</f>
        <v>13994.576022501</v>
      </c>
      <c r="Y22" s="557" t="n">
        <f aca="false">SUM(Y19:Y21)</f>
        <v>23746.1854186319</v>
      </c>
      <c r="Z22" s="557" t="n">
        <f aca="false">SUM(Z19:Z21)</f>
        <v>20507.0035433508</v>
      </c>
      <c r="AA22" s="558" t="n">
        <f aca="false">SUM(AA19:AA21)</f>
        <v>-265838.710102469</v>
      </c>
      <c r="AC22" s="553" t="n">
        <f aca="false">AC21+1</f>
        <v>16</v>
      </c>
    </row>
    <row r="23" customFormat="false" ht="12.75" hidden="false" customHeight="false" outlineLevel="0" collapsed="false">
      <c r="A23" s="72" t="s">
        <v>511</v>
      </c>
      <c r="B23" s="108"/>
      <c r="C23" s="108"/>
      <c r="D23" s="108"/>
      <c r="E23" s="108"/>
      <c r="F23" s="557" t="n">
        <f aca="false">IF(OR(F14&lt;0,F22&lt;0),0,-MIN(F14,F22))</f>
        <v>-0</v>
      </c>
      <c r="G23" s="557" t="n">
        <f aca="false">IF(OR(G14&lt;0,G22&lt;0),0,-MIN(G14,G22))</f>
        <v>-0</v>
      </c>
      <c r="H23" s="557" t="n">
        <f aca="false">IF(OR(H14&lt;0,H22&lt;0),0,-MIN(H14,H22))</f>
        <v>0</v>
      </c>
      <c r="I23" s="557" t="n">
        <f aca="false">IF(OR(I14&lt;0,I22&lt;0),0,-MIN(I14,I22))</f>
        <v>0</v>
      </c>
      <c r="J23" s="557" t="n">
        <f aca="false">IF(OR(J14&lt;0,J22&lt;0),0,-MIN(J14,J22))</f>
        <v>0</v>
      </c>
      <c r="K23" s="557" t="n">
        <f aca="false">IF(OR(K14&lt;0,K22&lt;0),0,-MIN(K14,K22))</f>
        <v>0</v>
      </c>
      <c r="L23" s="557" t="n">
        <f aca="false">IF(OR(L14&lt;0,L22&lt;0),0,-MIN(L14,L22))</f>
        <v>0</v>
      </c>
      <c r="M23" s="557" t="n">
        <f aca="false">IF(OR(M14&lt;0,M22&lt;0),0,-MIN(M14,M22))</f>
        <v>0</v>
      </c>
      <c r="N23" s="557" t="n">
        <f aca="false">IF(OR(N14&lt;0,N22&lt;0),0,-MIN(N14,N22))</f>
        <v>0</v>
      </c>
      <c r="O23" s="557" t="n">
        <f aca="false">IF(OR(O14&lt;0,O22&lt;0),0,-MIN(O14,O22))</f>
        <v>0</v>
      </c>
      <c r="P23" s="557" t="n">
        <f aca="false">IF(OR(P14&lt;0,P22&lt;0),0,-MIN(P14,P22))</f>
        <v>0</v>
      </c>
      <c r="Q23" s="557" t="n">
        <f aca="false">IF(OR(Q14&lt;0,Q22&lt;0),0,-MIN(Q14,Q22))</f>
        <v>0</v>
      </c>
      <c r="R23" s="557" t="n">
        <f aca="false">IF(OR(R14&lt;0,R22&lt;0),0,-MIN(R14,R22))</f>
        <v>0</v>
      </c>
      <c r="S23" s="557" t="n">
        <f aca="false">IF(OR(S14&lt;0,S22&lt;0),0,-MIN(S14,S22))</f>
        <v>0</v>
      </c>
      <c r="T23" s="557" t="n">
        <f aca="false">IF(OR(T14&lt;0,T22&lt;0),0,-MIN(T14,T22))</f>
        <v>0</v>
      </c>
      <c r="U23" s="557" t="n">
        <f aca="false">IF(OR(U14&lt;0,U22&lt;0),0,-MIN(U14,U22))</f>
        <v>0</v>
      </c>
      <c r="V23" s="557" t="n">
        <f aca="false">IF(OR(V14&lt;0,V22&lt;0),0,-MIN(V14,V22))</f>
        <v>0</v>
      </c>
      <c r="W23" s="557" t="n">
        <f aca="false">IF(OR(W14&lt;0,W22&lt;0),0,-MIN(W14,W22))</f>
        <v>0</v>
      </c>
      <c r="X23" s="557" t="n">
        <f aca="false">IF(OR(X14&lt;0,X22&lt;0),0,-MIN(X14,X22))</f>
        <v>-4150.35970157787</v>
      </c>
      <c r="Y23" s="557" t="n">
        <f aca="false">IF(OR(Y14&lt;0,Y22&lt;0),0,-MIN(Y14,Y22))</f>
        <v>-7581.36886552416</v>
      </c>
      <c r="Z23" s="557" t="n">
        <f aca="false">IF(OR(Z14&lt;0,Z22&lt;0),0,-MIN(Z14,Z22))</f>
        <v>-2235.32024618146</v>
      </c>
      <c r="AA23" s="558" t="n">
        <f aca="false">SUM(F23:Z23)</f>
        <v>-13967.0488132835</v>
      </c>
      <c r="AC23" s="553" t="n">
        <f aca="false">AC22+1</f>
        <v>17</v>
      </c>
    </row>
    <row r="24" customFormat="false" ht="12.75" hidden="false" customHeight="false" outlineLevel="0" collapsed="false">
      <c r="A24" s="72" t="s">
        <v>516</v>
      </c>
      <c r="B24" s="108"/>
      <c r="C24" s="108"/>
      <c r="D24" s="108"/>
      <c r="E24" s="108"/>
      <c r="F24" s="557" t="n">
        <f aca="false">IF(F$7=YEAR(Endyr),-SUM(F22:F23)*Assm!$L$52,-SUM(F22:F23)*Assm!$L$50)</f>
        <v>-0</v>
      </c>
      <c r="G24" s="557" t="n">
        <f aca="false">IF(G$7=YEAR(Endyr),-SUM(G22:G23)*Assm!$L$52,-SUM(G22:G23)*Assm!$L$50)</f>
        <v>-0</v>
      </c>
      <c r="H24" s="557" t="n">
        <f aca="false">IF(H$7=YEAR(Endyr),-SUM(H22:H23)*Assm!$L$52,-SUM(H22:H23)*Assm!$L$50)</f>
        <v>-0</v>
      </c>
      <c r="I24" s="557" t="n">
        <f aca="false">IF(I$7=YEAR(Endyr),-SUM(I22:I23)*Assm!$L$52,-SUM(I22:I23)*Assm!$L$50)</f>
        <v>0</v>
      </c>
      <c r="J24" s="557" t="n">
        <f aca="false">IF(J$7=YEAR(Endyr),-SUM(J22:J23)*Assm!$L$52,-SUM(J22:J23)*Assm!$L$50)</f>
        <v>0</v>
      </c>
      <c r="K24" s="557" t="n">
        <f aca="false">IF(K$7=YEAR(Endyr),-SUM(K22:K23)*Assm!$L$52,-SUM(K22:K23)*Assm!$L$50)</f>
        <v>0</v>
      </c>
      <c r="L24" s="557" t="n">
        <f aca="false">IF(L$7=YEAR(Endyr),-SUM(L22:L23)*Assm!$L$52,-SUM(L22:L23)*Assm!$L$50)</f>
        <v>0</v>
      </c>
      <c r="M24" s="557" t="n">
        <f aca="false">IF(M$7=YEAR(Endyr),-SUM(M22:M23)*Assm!$L$52,-SUM(M22:M23)*Assm!$L$50)</f>
        <v>0</v>
      </c>
      <c r="N24" s="557" t="n">
        <f aca="false">IF(N$7=YEAR(Endyr),-SUM(N22:N23)*Assm!$L$52,-SUM(N22:N23)*Assm!$L$50)</f>
        <v>0</v>
      </c>
      <c r="O24" s="557" t="n">
        <f aca="false">IF(O$7=YEAR(Endyr),-SUM(O22:O23)*Assm!$L$52,-SUM(O22:O23)*Assm!$L$50)</f>
        <v>0</v>
      </c>
      <c r="P24" s="557" t="n">
        <f aca="false">IF(P$7=YEAR(Endyr),-SUM(P22:P23)*Assm!$L$52,-SUM(P22:P23)*Assm!$L$50)</f>
        <v>0</v>
      </c>
      <c r="Q24" s="557" t="n">
        <f aca="false">IF(Q$7=YEAR(Endyr),-SUM(Q22:Q23)*Assm!$L$52,-SUM(Q22:Q23)*Assm!$L$50)</f>
        <v>0</v>
      </c>
      <c r="R24" s="557" t="n">
        <f aca="false">IF(R$7=YEAR(Endyr),-SUM(R22:R23)*Assm!$L$52,-SUM(R22:R23)*Assm!$L$50)</f>
        <v>0</v>
      </c>
      <c r="S24" s="557" t="n">
        <f aca="false">IF(S$7=YEAR(Endyr),-SUM(S22:S23)*Assm!$L$52,-SUM(S22:S23)*Assm!$L$50)</f>
        <v>0</v>
      </c>
      <c r="T24" s="557" t="n">
        <f aca="false">IF(T$7=YEAR(Endyr),-SUM(T22:T23)*Assm!$L$52,-SUM(T22:T23)*Assm!$L$50)</f>
        <v>0</v>
      </c>
      <c r="U24" s="557" t="n">
        <f aca="false">IF(U$7=YEAR(Endyr),-SUM(U22:U23)*Assm!$L$52,-SUM(U22:U23)*Assm!$L$50)</f>
        <v>0</v>
      </c>
      <c r="V24" s="557" t="n">
        <f aca="false">IF(V$7=YEAR(Endyr),-SUM(V22:V23)*Assm!$L$52,-SUM(V22:V23)*Assm!$L$50)</f>
        <v>0</v>
      </c>
      <c r="W24" s="557" t="n">
        <f aca="false">IF(W$7=YEAR(Endyr),-SUM(W22:W23)*Assm!$L$52,-SUM(W22:W23)*Assm!$L$50)</f>
        <v>-0</v>
      </c>
      <c r="X24" s="557" t="n">
        <f aca="false">IF(X$7=YEAR(Endyr),-SUM(X22:X23)*Assm!$L$52,-SUM(X22:X23)*Assm!$L$50)</f>
        <v>-0</v>
      </c>
      <c r="Y24" s="557" t="n">
        <f aca="false">IF(Y$7=YEAR(Endyr),-SUM(Y22:Y23)*Assm!$L$52,-SUM(Y22:Y23)*Assm!$L$50)</f>
        <v>-0</v>
      </c>
      <c r="Z24" s="557" t="n">
        <f aca="false">IF(Z$7=YEAR(Endyr),-SUM(Z22:Z23)*Assm!$L$52,-SUM(Z22:Z23)*Assm!$L$50)</f>
        <v>-18271.6832971693</v>
      </c>
      <c r="AA24" s="558" t="n">
        <f aca="false">SUM(F24:Z24)</f>
        <v>-18271.6832971693</v>
      </c>
      <c r="AC24" s="553" t="n">
        <f aca="false">AC23+1</f>
        <v>18</v>
      </c>
    </row>
    <row r="25" customFormat="false" ht="12.75" hidden="false" customHeight="false" outlineLevel="0" collapsed="false">
      <c r="A25" s="72" t="s">
        <v>517</v>
      </c>
      <c r="B25" s="108"/>
      <c r="C25" s="108"/>
      <c r="D25" s="108"/>
      <c r="E25" s="108"/>
      <c r="F25" s="559" t="n">
        <f aca="false">-SUM(F22:F24)*Assm!$L$51</f>
        <v>-0</v>
      </c>
      <c r="G25" s="559" t="n">
        <f aca="false">-SUM(G22:G24)*Assm!$L$51</f>
        <v>-0</v>
      </c>
      <c r="H25" s="559" t="n">
        <f aca="false">-SUM(H22:H24)*Assm!$L$51</f>
        <v>-417.210678711196</v>
      </c>
      <c r="I25" s="559" t="n">
        <f aca="false">-SUM(I22:I24)*Assm!$L$51</f>
        <v>4676.09415107926</v>
      </c>
      <c r="J25" s="559" t="n">
        <f aca="false">-SUM(J22:J24)*Assm!$L$51</f>
        <v>10864.2335286426</v>
      </c>
      <c r="K25" s="559" t="n">
        <f aca="false">-SUM(K22:K24)*Assm!$L$51</f>
        <v>15813.4341299119</v>
      </c>
      <c r="L25" s="559" t="n">
        <f aca="false">-SUM(L22:L24)*Assm!$L$51</f>
        <v>21132.8370256454</v>
      </c>
      <c r="M25" s="559" t="n">
        <f aca="false">-SUM(M22:M24)*Assm!$L$51</f>
        <v>26560.4486231395</v>
      </c>
      <c r="N25" s="559" t="n">
        <f aca="false">-SUM(N22:N24)*Assm!$L$51</f>
        <v>31610.7368694332</v>
      </c>
      <c r="O25" s="559" t="n">
        <f aca="false">-SUM(O22:O24)*Assm!$L$51</f>
        <v>33404.6421756175</v>
      </c>
      <c r="P25" s="559" t="n">
        <f aca="false">-SUM(P22:P24)*Assm!$L$51</f>
        <v>32502.7801061717</v>
      </c>
      <c r="Q25" s="559" t="n">
        <f aca="false">-SUM(Q22:Q24)*Assm!$L$51</f>
        <v>31103.9402073406</v>
      </c>
      <c r="R25" s="559" t="n">
        <f aca="false">-SUM(R22:R24)*Assm!$L$51</f>
        <v>30065.5610388681</v>
      </c>
      <c r="S25" s="559" t="n">
        <f aca="false">-SUM(S22:S24)*Assm!$L$51</f>
        <v>29363.8493826439</v>
      </c>
      <c r="T25" s="559" t="n">
        <f aca="false">-SUM(T22:T24)*Assm!$L$51</f>
        <v>25399.7720763136</v>
      </c>
      <c r="U25" s="559" t="n">
        <f aca="false">-SUM(U22:U24)*Assm!$L$51</f>
        <v>20218.7767557272</v>
      </c>
      <c r="V25" s="559" t="n">
        <f aca="false">-SUM(V22:V24)*Assm!$L$51</f>
        <v>12413.6702956259</v>
      </c>
      <c r="W25" s="559" t="n">
        <f aca="false">-SUM(W22:W24)*Assm!$L$51</f>
        <v>-627.090600496213</v>
      </c>
      <c r="X25" s="559" t="n">
        <f aca="false">-SUM(X22:X24)*Assm!$L$51</f>
        <v>-9844.21632092313</v>
      </c>
      <c r="Y25" s="559" t="n">
        <f aca="false">-SUM(Y22:Y24)*Assm!$L$51</f>
        <v>-16164.8165531078</v>
      </c>
      <c r="Z25" s="559" t="n">
        <f aca="false">-SUM(Z22:Z24)*Assm!$L$51</f>
        <v>-0</v>
      </c>
      <c r="AA25" s="560" t="n">
        <f aca="false">SUM(F25:Z25)</f>
        <v>298077.442212922</v>
      </c>
      <c r="AB25" s="562"/>
      <c r="AC25" s="553" t="n">
        <f aca="false">AC24+1</f>
        <v>19</v>
      </c>
      <c r="AD25" s="562"/>
      <c r="AE25" s="562"/>
      <c r="AF25" s="562"/>
      <c r="AG25" s="562"/>
      <c r="AH25" s="562"/>
      <c r="AI25" s="562"/>
      <c r="AJ25" s="562"/>
      <c r="AK25" s="562"/>
      <c r="AL25" s="562"/>
      <c r="AM25" s="562"/>
      <c r="AN25" s="562"/>
      <c r="AO25" s="562"/>
      <c r="AP25" s="562"/>
      <c r="AQ25" s="562"/>
      <c r="AR25" s="562"/>
      <c r="AS25" s="562"/>
      <c r="AT25" s="562"/>
      <c r="AU25" s="562"/>
      <c r="AV25" s="562"/>
      <c r="AW25" s="562"/>
      <c r="AX25" s="562"/>
      <c r="AY25" s="562"/>
      <c r="AZ25" s="562"/>
      <c r="BA25" s="562"/>
      <c r="BB25" s="562"/>
      <c r="BC25" s="562"/>
      <c r="BD25" s="562"/>
      <c r="BE25" s="562"/>
      <c r="BF25" s="562"/>
      <c r="BG25" s="562"/>
      <c r="BH25" s="562"/>
      <c r="BI25" s="562"/>
      <c r="BJ25" s="562"/>
      <c r="BK25" s="562"/>
      <c r="BL25" s="562"/>
      <c r="BM25" s="562"/>
      <c r="BN25" s="562"/>
      <c r="BO25" s="562"/>
      <c r="BP25" s="562"/>
      <c r="BQ25" s="562"/>
      <c r="BR25" s="562"/>
      <c r="BS25" s="562"/>
      <c r="BT25" s="562"/>
      <c r="BU25" s="562"/>
      <c r="BV25" s="562"/>
      <c r="BW25" s="562"/>
      <c r="BX25" s="562"/>
      <c r="BY25" s="562"/>
      <c r="BZ25" s="562"/>
      <c r="CA25" s="562"/>
      <c r="CB25" s="562"/>
      <c r="CC25" s="562"/>
      <c r="CD25" s="562"/>
      <c r="CE25" s="562"/>
      <c r="CF25" s="562"/>
      <c r="CG25" s="562"/>
      <c r="CH25" s="562"/>
      <c r="CI25" s="562"/>
      <c r="CJ25" s="562"/>
      <c r="CK25" s="562"/>
      <c r="CL25" s="562"/>
      <c r="CM25" s="562"/>
      <c r="CN25" s="562"/>
      <c r="CO25" s="562"/>
      <c r="CP25" s="562"/>
      <c r="CQ25" s="562"/>
      <c r="CR25" s="562"/>
      <c r="CS25" s="562"/>
      <c r="CT25" s="562"/>
      <c r="CU25" s="562"/>
      <c r="CV25" s="562"/>
      <c r="CW25" s="562"/>
      <c r="CX25" s="562"/>
      <c r="CY25" s="562"/>
      <c r="CZ25" s="562"/>
      <c r="DA25" s="562"/>
      <c r="DB25" s="562"/>
      <c r="DC25" s="562"/>
      <c r="DD25" s="562"/>
      <c r="DE25" s="562"/>
      <c r="DF25" s="562"/>
      <c r="DG25" s="562"/>
      <c r="DH25" s="562"/>
      <c r="DI25" s="562"/>
      <c r="DJ25" s="562"/>
      <c r="DK25" s="562"/>
      <c r="DL25" s="562"/>
      <c r="DM25" s="562"/>
      <c r="DN25" s="562"/>
      <c r="DO25" s="562"/>
      <c r="DP25" s="562"/>
      <c r="DQ25" s="562"/>
      <c r="DR25" s="562"/>
      <c r="DS25" s="562"/>
      <c r="DT25" s="562"/>
      <c r="DU25" s="562"/>
      <c r="DV25" s="562"/>
      <c r="DW25" s="562"/>
      <c r="DX25" s="562"/>
      <c r="DY25" s="562"/>
      <c r="DZ25" s="562"/>
      <c r="EA25" s="562"/>
      <c r="EB25" s="562"/>
      <c r="EC25" s="562"/>
      <c r="ED25" s="562"/>
      <c r="EE25" s="562"/>
      <c r="EF25" s="562"/>
      <c r="EG25" s="562"/>
      <c r="EH25" s="562"/>
      <c r="EI25" s="562"/>
      <c r="EJ25" s="562"/>
      <c r="EK25" s="562"/>
      <c r="EL25" s="562"/>
      <c r="EM25" s="562"/>
      <c r="EN25" s="562"/>
      <c r="EO25" s="562"/>
      <c r="EP25" s="562"/>
      <c r="EQ25" s="562"/>
      <c r="ER25" s="562"/>
      <c r="ES25" s="562"/>
      <c r="ET25" s="562"/>
      <c r="EU25" s="562"/>
      <c r="EV25" s="562"/>
      <c r="EW25" s="562"/>
      <c r="EX25" s="562"/>
      <c r="EY25" s="562"/>
      <c r="EZ25" s="562"/>
      <c r="FA25" s="562"/>
      <c r="FB25" s="562"/>
      <c r="FC25" s="562"/>
      <c r="FD25" s="562"/>
      <c r="FE25" s="562"/>
      <c r="FF25" s="562"/>
      <c r="FG25" s="562"/>
      <c r="FH25" s="562"/>
      <c r="FI25" s="562"/>
      <c r="FJ25" s="562"/>
      <c r="FK25" s="562"/>
      <c r="FL25" s="562"/>
      <c r="FM25" s="562"/>
      <c r="FN25" s="562"/>
      <c r="FO25" s="562"/>
      <c r="FP25" s="562"/>
      <c r="FQ25" s="562"/>
      <c r="FR25" s="562"/>
      <c r="FS25" s="562"/>
      <c r="FT25" s="562"/>
      <c r="FU25" s="562"/>
      <c r="FV25" s="562"/>
      <c r="FW25" s="562"/>
      <c r="FX25" s="562"/>
      <c r="FY25" s="562"/>
      <c r="FZ25" s="562"/>
      <c r="GA25" s="562"/>
      <c r="GB25" s="562"/>
      <c r="GC25" s="562"/>
      <c r="GD25" s="562"/>
      <c r="GE25" s="562"/>
      <c r="GF25" s="562"/>
      <c r="GG25" s="562"/>
      <c r="GH25" s="562"/>
      <c r="GI25" s="562"/>
      <c r="GJ25" s="562"/>
      <c r="GK25" s="562"/>
      <c r="GL25" s="562"/>
      <c r="GM25" s="562"/>
      <c r="GN25" s="562"/>
      <c r="GO25" s="562"/>
      <c r="GP25" s="562"/>
      <c r="GQ25" s="562"/>
      <c r="GR25" s="562"/>
      <c r="GS25" s="562"/>
      <c r="GT25" s="562"/>
      <c r="GU25" s="562"/>
      <c r="GV25" s="562"/>
      <c r="GW25" s="562"/>
      <c r="GX25" s="562"/>
      <c r="GY25" s="562"/>
      <c r="GZ25" s="562"/>
      <c r="HA25" s="562"/>
      <c r="HB25" s="562"/>
      <c r="HC25" s="562"/>
      <c r="HD25" s="562"/>
      <c r="HE25" s="562"/>
      <c r="HF25" s="562"/>
      <c r="HG25" s="562"/>
      <c r="HH25" s="562"/>
      <c r="HI25" s="562"/>
      <c r="HJ25" s="562"/>
      <c r="HK25" s="562"/>
      <c r="HL25" s="562"/>
      <c r="HM25" s="562"/>
      <c r="HN25" s="562"/>
      <c r="HO25" s="562"/>
      <c r="HP25" s="562"/>
      <c r="HQ25" s="562"/>
      <c r="HR25" s="562"/>
      <c r="HS25" s="562"/>
      <c r="HT25" s="562"/>
      <c r="HU25" s="562"/>
      <c r="HV25" s="562"/>
      <c r="HW25" s="562"/>
      <c r="HX25" s="562"/>
      <c r="HY25" s="562"/>
      <c r="HZ25" s="562"/>
      <c r="IA25" s="562"/>
      <c r="IB25" s="562"/>
      <c r="IC25" s="562"/>
      <c r="ID25" s="562"/>
      <c r="IE25" s="562"/>
      <c r="IF25" s="562"/>
      <c r="IG25" s="562"/>
      <c r="IH25" s="562"/>
      <c r="II25" s="562"/>
      <c r="IJ25" s="562"/>
      <c r="IK25" s="562"/>
      <c r="IL25" s="562"/>
      <c r="IM25" s="562"/>
      <c r="IN25" s="562"/>
      <c r="IO25" s="562"/>
      <c r="IP25" s="562"/>
      <c r="IQ25" s="562"/>
      <c r="IR25" s="562"/>
      <c r="IS25" s="562"/>
      <c r="IT25" s="562"/>
      <c r="IU25" s="562"/>
      <c r="IV25" s="562"/>
      <c r="IW25" s="562"/>
    </row>
    <row r="26" customFormat="false" ht="12.75" hidden="false" customHeight="false" outlineLevel="0" collapsed="false">
      <c r="A26" s="72" t="s">
        <v>476</v>
      </c>
      <c r="B26" s="108"/>
      <c r="C26" s="108"/>
      <c r="D26" s="108"/>
      <c r="E26" s="108"/>
      <c r="F26" s="557" t="n">
        <f aca="false">SUM(F22:F25)</f>
        <v>0</v>
      </c>
      <c r="G26" s="557" t="n">
        <f aca="false">SUM(G22:G25)</f>
        <v>0</v>
      </c>
      <c r="H26" s="557" t="n">
        <f aca="false">SUM(H22:H25)</f>
        <v>0</v>
      </c>
      <c r="I26" s="557" t="n">
        <f aca="false">SUM(I22:I25)</f>
        <v>0</v>
      </c>
      <c r="J26" s="557" t="n">
        <f aca="false">SUM(J22:J25)</f>
        <v>0</v>
      </c>
      <c r="K26" s="557" t="n">
        <f aca="false">SUM(K22:K25)</f>
        <v>0</v>
      </c>
      <c r="L26" s="557" t="n">
        <f aca="false">SUM(L22:L25)</f>
        <v>0</v>
      </c>
      <c r="M26" s="557" t="n">
        <f aca="false">SUM(M22:M25)</f>
        <v>0</v>
      </c>
      <c r="N26" s="557" t="n">
        <f aca="false">SUM(N22:N25)</f>
        <v>0</v>
      </c>
      <c r="O26" s="557" t="n">
        <f aca="false">SUM(O22:O25)</f>
        <v>0</v>
      </c>
      <c r="P26" s="557" t="n">
        <f aca="false">SUM(P22:P25)</f>
        <v>0</v>
      </c>
      <c r="Q26" s="557" t="n">
        <f aca="false">SUM(Q22:Q25)</f>
        <v>0</v>
      </c>
      <c r="R26" s="557" t="n">
        <f aca="false">SUM(R22:R25)</f>
        <v>0</v>
      </c>
      <c r="S26" s="557" t="n">
        <f aca="false">SUM(S22:S25)</f>
        <v>0</v>
      </c>
      <c r="T26" s="557" t="n">
        <f aca="false">SUM(T22:T25)</f>
        <v>0</v>
      </c>
      <c r="U26" s="557" t="n">
        <f aca="false">SUM(U22:U25)</f>
        <v>0</v>
      </c>
      <c r="V26" s="557" t="n">
        <f aca="false">SUM(V22:V25)</f>
        <v>0</v>
      </c>
      <c r="W26" s="557" t="n">
        <f aca="false">SUM(W22:W25)</f>
        <v>0</v>
      </c>
      <c r="X26" s="557" t="n">
        <f aca="false">SUM(X22:X25)</f>
        <v>0</v>
      </c>
      <c r="Y26" s="557" t="n">
        <f aca="false">SUM(Y22:Y25)</f>
        <v>0</v>
      </c>
      <c r="Z26" s="557" t="n">
        <f aca="false">SUM(Z22:Z25)</f>
        <v>0</v>
      </c>
      <c r="AA26" s="558" t="n">
        <f aca="false">SUM(AA22:AA25)</f>
        <v>0</v>
      </c>
      <c r="AB26" s="562"/>
      <c r="AC26" s="553" t="n">
        <f aca="false">AC25+1</f>
        <v>20</v>
      </c>
      <c r="AD26" s="562"/>
      <c r="AE26" s="562"/>
      <c r="AF26" s="562"/>
      <c r="AG26" s="562"/>
      <c r="AH26" s="562"/>
      <c r="AI26" s="562"/>
      <c r="AJ26" s="562"/>
      <c r="AK26" s="562"/>
      <c r="AL26" s="562"/>
      <c r="AM26" s="562"/>
      <c r="AN26" s="562"/>
      <c r="AO26" s="562"/>
      <c r="AP26" s="562"/>
      <c r="AQ26" s="562"/>
      <c r="AR26" s="562"/>
      <c r="AS26" s="562"/>
      <c r="AT26" s="562"/>
      <c r="AU26" s="562"/>
      <c r="AV26" s="562"/>
      <c r="AW26" s="562"/>
      <c r="AX26" s="562"/>
      <c r="AY26" s="562"/>
      <c r="AZ26" s="562"/>
      <c r="BA26" s="562"/>
      <c r="BB26" s="562"/>
      <c r="BC26" s="562"/>
      <c r="BD26" s="562"/>
      <c r="BE26" s="562"/>
      <c r="BF26" s="562"/>
      <c r="BG26" s="562"/>
      <c r="BH26" s="562"/>
      <c r="BI26" s="562"/>
      <c r="BJ26" s="562"/>
      <c r="BK26" s="562"/>
      <c r="BL26" s="562"/>
      <c r="BM26" s="562"/>
      <c r="BN26" s="562"/>
      <c r="BO26" s="562"/>
      <c r="BP26" s="562"/>
      <c r="BQ26" s="562"/>
      <c r="BR26" s="562"/>
      <c r="BS26" s="562"/>
      <c r="BT26" s="562"/>
      <c r="BU26" s="562"/>
      <c r="BV26" s="562"/>
      <c r="BW26" s="562"/>
      <c r="BX26" s="562"/>
      <c r="BY26" s="562"/>
      <c r="BZ26" s="562"/>
      <c r="CA26" s="562"/>
      <c r="CB26" s="562"/>
      <c r="CC26" s="562"/>
      <c r="CD26" s="562"/>
      <c r="CE26" s="562"/>
      <c r="CF26" s="562"/>
      <c r="CG26" s="562"/>
      <c r="CH26" s="562"/>
      <c r="CI26" s="562"/>
      <c r="CJ26" s="562"/>
      <c r="CK26" s="562"/>
      <c r="CL26" s="562"/>
      <c r="CM26" s="562"/>
      <c r="CN26" s="562"/>
      <c r="CO26" s="562"/>
      <c r="CP26" s="562"/>
      <c r="CQ26" s="562"/>
      <c r="CR26" s="562"/>
      <c r="CS26" s="562"/>
      <c r="CT26" s="562"/>
      <c r="CU26" s="562"/>
      <c r="CV26" s="562"/>
      <c r="CW26" s="562"/>
      <c r="CX26" s="562"/>
      <c r="CY26" s="562"/>
      <c r="CZ26" s="562"/>
      <c r="DA26" s="562"/>
      <c r="DB26" s="562"/>
      <c r="DC26" s="562"/>
      <c r="DD26" s="562"/>
      <c r="DE26" s="562"/>
      <c r="DF26" s="562"/>
      <c r="DG26" s="562"/>
      <c r="DH26" s="562"/>
      <c r="DI26" s="562"/>
      <c r="DJ26" s="562"/>
      <c r="DK26" s="562"/>
      <c r="DL26" s="562"/>
      <c r="DM26" s="562"/>
      <c r="DN26" s="562"/>
      <c r="DO26" s="562"/>
      <c r="DP26" s="562"/>
      <c r="DQ26" s="562"/>
      <c r="DR26" s="562"/>
      <c r="DS26" s="562"/>
      <c r="DT26" s="562"/>
      <c r="DU26" s="562"/>
      <c r="DV26" s="562"/>
      <c r="DW26" s="562"/>
      <c r="DX26" s="562"/>
      <c r="DY26" s="562"/>
      <c r="DZ26" s="562"/>
      <c r="EA26" s="562"/>
      <c r="EB26" s="562"/>
      <c r="EC26" s="562"/>
      <c r="ED26" s="562"/>
      <c r="EE26" s="562"/>
      <c r="EF26" s="562"/>
      <c r="EG26" s="562"/>
      <c r="EH26" s="562"/>
      <c r="EI26" s="562"/>
      <c r="EJ26" s="562"/>
      <c r="EK26" s="562"/>
      <c r="EL26" s="562"/>
      <c r="EM26" s="562"/>
      <c r="EN26" s="562"/>
      <c r="EO26" s="562"/>
      <c r="EP26" s="562"/>
      <c r="EQ26" s="562"/>
      <c r="ER26" s="562"/>
      <c r="ES26" s="562"/>
      <c r="ET26" s="562"/>
      <c r="EU26" s="562"/>
      <c r="EV26" s="562"/>
      <c r="EW26" s="562"/>
      <c r="EX26" s="562"/>
      <c r="EY26" s="562"/>
      <c r="EZ26" s="562"/>
      <c r="FA26" s="562"/>
      <c r="FB26" s="562"/>
      <c r="FC26" s="562"/>
      <c r="FD26" s="562"/>
      <c r="FE26" s="562"/>
      <c r="FF26" s="562"/>
      <c r="FG26" s="562"/>
      <c r="FH26" s="562"/>
      <c r="FI26" s="562"/>
      <c r="FJ26" s="562"/>
      <c r="FK26" s="562"/>
      <c r="FL26" s="562"/>
      <c r="FM26" s="562"/>
      <c r="FN26" s="562"/>
      <c r="FO26" s="562"/>
      <c r="FP26" s="562"/>
      <c r="FQ26" s="562"/>
      <c r="FR26" s="562"/>
      <c r="FS26" s="562"/>
      <c r="FT26" s="562"/>
      <c r="FU26" s="562"/>
      <c r="FV26" s="562"/>
      <c r="FW26" s="562"/>
      <c r="FX26" s="562"/>
      <c r="FY26" s="562"/>
      <c r="FZ26" s="562"/>
      <c r="GA26" s="562"/>
      <c r="GB26" s="562"/>
      <c r="GC26" s="562"/>
      <c r="GD26" s="562"/>
      <c r="GE26" s="562"/>
      <c r="GF26" s="562"/>
      <c r="GG26" s="562"/>
      <c r="GH26" s="562"/>
      <c r="GI26" s="562"/>
      <c r="GJ26" s="562"/>
      <c r="GK26" s="562"/>
      <c r="GL26" s="562"/>
      <c r="GM26" s="562"/>
      <c r="GN26" s="562"/>
      <c r="GO26" s="562"/>
      <c r="GP26" s="562"/>
      <c r="GQ26" s="562"/>
      <c r="GR26" s="562"/>
      <c r="GS26" s="562"/>
      <c r="GT26" s="562"/>
      <c r="GU26" s="562"/>
      <c r="GV26" s="562"/>
      <c r="GW26" s="562"/>
      <c r="GX26" s="562"/>
      <c r="GY26" s="562"/>
      <c r="GZ26" s="562"/>
      <c r="HA26" s="562"/>
      <c r="HB26" s="562"/>
      <c r="HC26" s="562"/>
      <c r="HD26" s="562"/>
      <c r="HE26" s="562"/>
      <c r="HF26" s="562"/>
      <c r="HG26" s="562"/>
      <c r="HH26" s="562"/>
      <c r="HI26" s="562"/>
      <c r="HJ26" s="562"/>
      <c r="HK26" s="562"/>
      <c r="HL26" s="562"/>
      <c r="HM26" s="562"/>
      <c r="HN26" s="562"/>
      <c r="HO26" s="562"/>
      <c r="HP26" s="562"/>
      <c r="HQ26" s="562"/>
      <c r="HR26" s="562"/>
      <c r="HS26" s="562"/>
      <c r="HT26" s="562"/>
      <c r="HU26" s="562"/>
      <c r="HV26" s="562"/>
      <c r="HW26" s="562"/>
      <c r="HX26" s="562"/>
      <c r="HY26" s="562"/>
      <c r="HZ26" s="562"/>
      <c r="IA26" s="562"/>
      <c r="IB26" s="562"/>
      <c r="IC26" s="562"/>
      <c r="ID26" s="562"/>
      <c r="IE26" s="562"/>
      <c r="IF26" s="562"/>
      <c r="IG26" s="562"/>
      <c r="IH26" s="562"/>
      <c r="II26" s="562"/>
      <c r="IJ26" s="562"/>
      <c r="IK26" s="562"/>
      <c r="IL26" s="562"/>
      <c r="IM26" s="562"/>
      <c r="IN26" s="562"/>
      <c r="IO26" s="562"/>
      <c r="IP26" s="562"/>
      <c r="IQ26" s="562"/>
      <c r="IR26" s="562"/>
      <c r="IS26" s="562"/>
      <c r="IT26" s="562"/>
      <c r="IU26" s="562"/>
      <c r="IV26" s="562"/>
      <c r="IW26" s="562"/>
    </row>
    <row r="27" customFormat="false" ht="12.75" hidden="false" customHeight="false" outlineLevel="0" collapsed="false">
      <c r="A27" s="82"/>
      <c r="B27" s="66"/>
      <c r="C27" s="66"/>
      <c r="D27" s="66"/>
      <c r="E27" s="66"/>
      <c r="F27" s="348"/>
      <c r="G27" s="348"/>
      <c r="H27" s="348"/>
      <c r="I27" s="348"/>
      <c r="J27" s="348"/>
      <c r="K27" s="348"/>
      <c r="L27" s="348"/>
      <c r="M27" s="348"/>
      <c r="N27" s="348"/>
      <c r="O27" s="348"/>
      <c r="P27" s="348"/>
      <c r="Q27" s="348"/>
      <c r="R27" s="348"/>
      <c r="S27" s="348"/>
      <c r="T27" s="348"/>
      <c r="U27" s="348"/>
      <c r="V27" s="348"/>
      <c r="W27" s="348"/>
      <c r="X27" s="348"/>
      <c r="Y27" s="348"/>
      <c r="Z27" s="348"/>
      <c r="AA27" s="561"/>
      <c r="AB27" s="562"/>
      <c r="AC27" s="553" t="n">
        <f aca="false">AC26+1</f>
        <v>21</v>
      </c>
      <c r="AD27" s="562"/>
      <c r="AE27" s="562"/>
      <c r="AF27" s="562"/>
      <c r="AG27" s="562"/>
      <c r="AH27" s="562"/>
      <c r="AI27" s="562"/>
      <c r="AJ27" s="562"/>
      <c r="AK27" s="562"/>
      <c r="AL27" s="562"/>
      <c r="AM27" s="562"/>
      <c r="AN27" s="562"/>
      <c r="AO27" s="562"/>
      <c r="AP27" s="562"/>
      <c r="AQ27" s="562"/>
      <c r="AR27" s="562"/>
      <c r="AS27" s="562"/>
      <c r="AT27" s="562"/>
      <c r="AU27" s="562"/>
      <c r="AV27" s="562"/>
      <c r="AW27" s="562"/>
      <c r="AX27" s="562"/>
      <c r="AY27" s="562"/>
      <c r="AZ27" s="562"/>
      <c r="BA27" s="562"/>
      <c r="BB27" s="562"/>
      <c r="BC27" s="562"/>
      <c r="BD27" s="562"/>
      <c r="BE27" s="562"/>
      <c r="BF27" s="562"/>
      <c r="BG27" s="562"/>
      <c r="BH27" s="562"/>
      <c r="BI27" s="562"/>
      <c r="BJ27" s="562"/>
      <c r="BK27" s="562"/>
      <c r="BL27" s="562"/>
      <c r="BM27" s="562"/>
      <c r="BN27" s="562"/>
      <c r="BO27" s="562"/>
      <c r="BP27" s="562"/>
      <c r="BQ27" s="562"/>
      <c r="BR27" s="562"/>
      <c r="BS27" s="562"/>
      <c r="BT27" s="562"/>
      <c r="BU27" s="562"/>
      <c r="BV27" s="562"/>
      <c r="BW27" s="562"/>
      <c r="BX27" s="562"/>
      <c r="BY27" s="562"/>
      <c r="BZ27" s="562"/>
      <c r="CA27" s="562"/>
      <c r="CB27" s="562"/>
      <c r="CC27" s="562"/>
      <c r="CD27" s="562"/>
      <c r="CE27" s="562"/>
      <c r="CF27" s="562"/>
      <c r="CG27" s="562"/>
      <c r="CH27" s="562"/>
      <c r="CI27" s="562"/>
      <c r="CJ27" s="562"/>
      <c r="CK27" s="562"/>
      <c r="CL27" s="562"/>
      <c r="CM27" s="562"/>
      <c r="CN27" s="562"/>
      <c r="CO27" s="562"/>
      <c r="CP27" s="562"/>
      <c r="CQ27" s="562"/>
      <c r="CR27" s="562"/>
      <c r="CS27" s="562"/>
      <c r="CT27" s="562"/>
      <c r="CU27" s="562"/>
      <c r="CV27" s="562"/>
      <c r="CW27" s="562"/>
      <c r="CX27" s="562"/>
      <c r="CY27" s="562"/>
      <c r="CZ27" s="562"/>
      <c r="DA27" s="562"/>
      <c r="DB27" s="562"/>
      <c r="DC27" s="562"/>
      <c r="DD27" s="562"/>
      <c r="DE27" s="562"/>
      <c r="DF27" s="562"/>
      <c r="DG27" s="562"/>
      <c r="DH27" s="562"/>
      <c r="DI27" s="562"/>
      <c r="DJ27" s="562"/>
      <c r="DK27" s="562"/>
      <c r="DL27" s="562"/>
      <c r="DM27" s="562"/>
      <c r="DN27" s="562"/>
      <c r="DO27" s="562"/>
      <c r="DP27" s="562"/>
      <c r="DQ27" s="562"/>
      <c r="DR27" s="562"/>
      <c r="DS27" s="562"/>
      <c r="DT27" s="562"/>
      <c r="DU27" s="562"/>
      <c r="DV27" s="562"/>
      <c r="DW27" s="562"/>
      <c r="DX27" s="562"/>
      <c r="DY27" s="562"/>
      <c r="DZ27" s="562"/>
      <c r="EA27" s="562"/>
      <c r="EB27" s="562"/>
      <c r="EC27" s="562"/>
      <c r="ED27" s="562"/>
      <c r="EE27" s="562"/>
      <c r="EF27" s="562"/>
      <c r="EG27" s="562"/>
      <c r="EH27" s="562"/>
      <c r="EI27" s="562"/>
      <c r="EJ27" s="562"/>
      <c r="EK27" s="562"/>
      <c r="EL27" s="562"/>
      <c r="EM27" s="562"/>
      <c r="EN27" s="562"/>
      <c r="EO27" s="562"/>
      <c r="EP27" s="562"/>
      <c r="EQ27" s="562"/>
      <c r="ER27" s="562"/>
      <c r="ES27" s="562"/>
      <c r="ET27" s="562"/>
      <c r="EU27" s="562"/>
      <c r="EV27" s="562"/>
      <c r="EW27" s="562"/>
      <c r="EX27" s="562"/>
      <c r="EY27" s="562"/>
      <c r="EZ27" s="562"/>
      <c r="FA27" s="562"/>
      <c r="FB27" s="562"/>
      <c r="FC27" s="562"/>
      <c r="FD27" s="562"/>
      <c r="FE27" s="562"/>
      <c r="FF27" s="562"/>
      <c r="FG27" s="562"/>
      <c r="FH27" s="562"/>
      <c r="FI27" s="562"/>
      <c r="FJ27" s="562"/>
      <c r="FK27" s="562"/>
      <c r="FL27" s="562"/>
      <c r="FM27" s="562"/>
      <c r="FN27" s="562"/>
      <c r="FO27" s="562"/>
      <c r="FP27" s="562"/>
      <c r="FQ27" s="562"/>
      <c r="FR27" s="562"/>
      <c r="FS27" s="562"/>
      <c r="FT27" s="562"/>
      <c r="FU27" s="562"/>
      <c r="FV27" s="562"/>
      <c r="FW27" s="562"/>
      <c r="FX27" s="562"/>
      <c r="FY27" s="562"/>
      <c r="FZ27" s="562"/>
      <c r="GA27" s="562"/>
      <c r="GB27" s="562"/>
      <c r="GC27" s="562"/>
      <c r="GD27" s="562"/>
      <c r="GE27" s="562"/>
      <c r="GF27" s="562"/>
      <c r="GG27" s="562"/>
      <c r="GH27" s="562"/>
      <c r="GI27" s="562"/>
      <c r="GJ27" s="562"/>
      <c r="GK27" s="562"/>
      <c r="GL27" s="562"/>
      <c r="GM27" s="562"/>
      <c r="GN27" s="562"/>
      <c r="GO27" s="562"/>
      <c r="GP27" s="562"/>
      <c r="GQ27" s="562"/>
      <c r="GR27" s="562"/>
      <c r="GS27" s="562"/>
      <c r="GT27" s="562"/>
      <c r="GU27" s="562"/>
      <c r="GV27" s="562"/>
      <c r="GW27" s="562"/>
      <c r="GX27" s="562"/>
      <c r="GY27" s="562"/>
      <c r="GZ27" s="562"/>
      <c r="HA27" s="562"/>
      <c r="HB27" s="562"/>
      <c r="HC27" s="562"/>
      <c r="HD27" s="562"/>
      <c r="HE27" s="562"/>
      <c r="HF27" s="562"/>
      <c r="HG27" s="562"/>
      <c r="HH27" s="562"/>
      <c r="HI27" s="562"/>
      <c r="HJ27" s="562"/>
      <c r="HK27" s="562"/>
      <c r="HL27" s="562"/>
      <c r="HM27" s="562"/>
      <c r="HN27" s="562"/>
      <c r="HO27" s="562"/>
      <c r="HP27" s="562"/>
      <c r="HQ27" s="562"/>
      <c r="HR27" s="562"/>
      <c r="HS27" s="562"/>
      <c r="HT27" s="562"/>
      <c r="HU27" s="562"/>
      <c r="HV27" s="562"/>
      <c r="HW27" s="562"/>
      <c r="HX27" s="562"/>
      <c r="HY27" s="562"/>
      <c r="HZ27" s="562"/>
      <c r="IA27" s="562"/>
      <c r="IB27" s="562"/>
      <c r="IC27" s="562"/>
      <c r="ID27" s="562"/>
      <c r="IE27" s="562"/>
      <c r="IF27" s="562"/>
      <c r="IG27" s="562"/>
      <c r="IH27" s="562"/>
      <c r="II27" s="562"/>
      <c r="IJ27" s="562"/>
      <c r="IK27" s="562"/>
      <c r="IL27" s="562"/>
      <c r="IM27" s="562"/>
      <c r="IN27" s="562"/>
      <c r="IO27" s="562"/>
      <c r="IP27" s="562"/>
      <c r="IQ27" s="562"/>
      <c r="IR27" s="562"/>
      <c r="IS27" s="562"/>
      <c r="IT27" s="562"/>
      <c r="IU27" s="562"/>
      <c r="IV27" s="562"/>
      <c r="IW27" s="562"/>
    </row>
    <row r="28" customFormat="false" ht="14.25" hidden="false" customHeight="true" outlineLevel="0" collapsed="false">
      <c r="A28" s="506" t="s">
        <v>518</v>
      </c>
      <c r="B28" s="507"/>
      <c r="C28" s="507"/>
      <c r="D28" s="507"/>
      <c r="E28" s="507"/>
      <c r="F28" s="565" t="n">
        <v>0</v>
      </c>
      <c r="G28" s="566" t="n">
        <f aca="false">F31</f>
        <v>0</v>
      </c>
      <c r="H28" s="566" t="n">
        <f aca="false">G31</f>
        <v>0</v>
      </c>
      <c r="I28" s="566" t="n">
        <f aca="false">H31</f>
        <v>417.210678711196</v>
      </c>
      <c r="J28" s="566" t="n">
        <f aca="false">I31</f>
        <v>-4676.09415107926</v>
      </c>
      <c r="K28" s="566" t="n">
        <f aca="false">J31</f>
        <v>-10864.2335286426</v>
      </c>
      <c r="L28" s="566" t="n">
        <f aca="false">K31</f>
        <v>-15813.4341299119</v>
      </c>
      <c r="M28" s="566" t="n">
        <f aca="false">L31</f>
        <v>-21132.8370256454</v>
      </c>
      <c r="N28" s="566" t="n">
        <f aca="false">M31</f>
        <v>-26560.4486231395</v>
      </c>
      <c r="O28" s="566" t="n">
        <f aca="false">N31</f>
        <v>-31610.7368694332</v>
      </c>
      <c r="P28" s="566" t="n">
        <f aca="false">O31</f>
        <v>-33404.6421756175</v>
      </c>
      <c r="Q28" s="566" t="n">
        <f aca="false">P31</f>
        <v>-32502.7801061717</v>
      </c>
      <c r="R28" s="566" t="n">
        <f aca="false">Q31</f>
        <v>-31103.9402073406</v>
      </c>
      <c r="S28" s="566" t="n">
        <f aca="false">R31</f>
        <v>-30065.5610388681</v>
      </c>
      <c r="T28" s="566" t="n">
        <f aca="false">S31</f>
        <v>-29363.8493826439</v>
      </c>
      <c r="U28" s="566" t="n">
        <f aca="false">T31</f>
        <v>-25399.7720763136</v>
      </c>
      <c r="V28" s="566" t="n">
        <f aca="false">U31</f>
        <v>-20218.7767557272</v>
      </c>
      <c r="W28" s="566" t="n">
        <f aca="false">V31</f>
        <v>-12413.6702956259</v>
      </c>
      <c r="X28" s="566" t="n">
        <f aca="false">W31</f>
        <v>627.090600496213</v>
      </c>
      <c r="Y28" s="566" t="n">
        <f aca="false">X31</f>
        <v>9844.21632092313</v>
      </c>
      <c r="Z28" s="566" t="n">
        <f aca="false">Y31</f>
        <v>16164.8165531078</v>
      </c>
      <c r="AA28" s="567" t="n">
        <f aca="false">F28</f>
        <v>0</v>
      </c>
      <c r="AC28" s="553" t="n">
        <f aca="false">AC27+1</f>
        <v>22</v>
      </c>
    </row>
    <row r="29" customFormat="false" ht="14.25" hidden="false" customHeight="true" outlineLevel="0" collapsed="false">
      <c r="A29" s="568" t="s">
        <v>519</v>
      </c>
      <c r="B29" s="403"/>
      <c r="C29" s="403"/>
      <c r="D29" s="403"/>
      <c r="E29" s="403"/>
      <c r="F29" s="569" t="n">
        <f aca="false">IF(-F25+E25&gt;0,-F25+E25,0)</f>
        <v>0</v>
      </c>
      <c r="G29" s="569" t="n">
        <f aca="false">IF(-G25+F25&gt;0,-G25+F25,0)</f>
        <v>0</v>
      </c>
      <c r="H29" s="569" t="n">
        <f aca="false">IF(-H25+G25&gt;0,-H25+G25,0)</f>
        <v>417.210678711196</v>
      </c>
      <c r="I29" s="569" t="n">
        <f aca="false">IF(-I25+H25&gt;0,-I25+H25,0)</f>
        <v>0</v>
      </c>
      <c r="J29" s="569" t="n">
        <f aca="false">IF(-J25+I25&gt;0,-J25+I25,0)</f>
        <v>0</v>
      </c>
      <c r="K29" s="569" t="n">
        <f aca="false">IF(-K25+J25&gt;0,-K25+J25,0)</f>
        <v>0</v>
      </c>
      <c r="L29" s="569" t="n">
        <f aca="false">IF(-L25+K25&gt;0,-L25+K25,0)</f>
        <v>0</v>
      </c>
      <c r="M29" s="569" t="n">
        <f aca="false">IF(-M25+L25&gt;0,-M25+L25,0)</f>
        <v>0</v>
      </c>
      <c r="N29" s="569" t="n">
        <f aca="false">IF(-N25+M25&gt;0,-N25+M25,0)</f>
        <v>0</v>
      </c>
      <c r="O29" s="569" t="n">
        <f aca="false">IF(-O25+N25&gt;0,-O25+N25,0)</f>
        <v>0</v>
      </c>
      <c r="P29" s="569" t="n">
        <f aca="false">IF(-P25+O25&gt;0,-P25+O25,0)</f>
        <v>901.86206944576</v>
      </c>
      <c r="Q29" s="569" t="n">
        <f aca="false">IF(-Q25+P25&gt;0,-Q25+P25,0)</f>
        <v>1398.83989883108</v>
      </c>
      <c r="R29" s="569" t="n">
        <f aca="false">IF(-R25+Q25&gt;0,-R25+Q25,0)</f>
        <v>1038.37916847248</v>
      </c>
      <c r="S29" s="569" t="n">
        <f aca="false">IF(-S25+R25&gt;0,-S25+R25,0)</f>
        <v>701.711656224285</v>
      </c>
      <c r="T29" s="569" t="n">
        <f aca="false">IF(-T25+S25&gt;0,-T25+S25,0)</f>
        <v>3964.0773063303</v>
      </c>
      <c r="U29" s="569" t="n">
        <f aca="false">IF(-U25+T25&gt;0,-U25+T25,0)</f>
        <v>5180.99532058638</v>
      </c>
      <c r="V29" s="569" t="n">
        <f aca="false">IF(-V25+U25&gt;0,-V25+U25,0)</f>
        <v>7805.10646010131</v>
      </c>
      <c r="W29" s="569" t="n">
        <f aca="false">IF(-W25+V25&gt;0,-W25+V25,0)</f>
        <v>13040.7608961221</v>
      </c>
      <c r="X29" s="569" t="n">
        <f aca="false">IF(-X25+W25&gt;0,-X25+W25,0)</f>
        <v>9217.12572042692</v>
      </c>
      <c r="Y29" s="569" t="n">
        <f aca="false">IF(-Y25+X25&gt;0,-Y25+X25,0)</f>
        <v>6320.60023218462</v>
      </c>
      <c r="Z29" s="569" t="n">
        <f aca="false">IF(-Z25+Y25&gt;0,-Z25+Y25,0)</f>
        <v>0</v>
      </c>
      <c r="AA29" s="407" t="n">
        <f aca="false">SUM(F29:Z29)</f>
        <v>49986.6694074364</v>
      </c>
      <c r="AB29" s="108"/>
      <c r="AC29" s="553" t="n">
        <f aca="false">AC28+1</f>
        <v>23</v>
      </c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  <c r="CK29" s="108"/>
      <c r="CL29" s="108"/>
      <c r="CM29" s="108"/>
      <c r="CN29" s="108"/>
      <c r="CO29" s="108"/>
      <c r="CP29" s="108"/>
      <c r="CQ29" s="108"/>
      <c r="CR29" s="108"/>
      <c r="CS29" s="108"/>
      <c r="CT29" s="108"/>
      <c r="CU29" s="108"/>
      <c r="CV29" s="108"/>
      <c r="CW29" s="108"/>
      <c r="CX29" s="108"/>
      <c r="CY29" s="108"/>
      <c r="CZ29" s="108"/>
      <c r="DA29" s="108"/>
      <c r="DB29" s="108"/>
      <c r="DC29" s="108"/>
      <c r="DD29" s="108"/>
      <c r="DE29" s="108"/>
      <c r="DF29" s="108"/>
      <c r="DG29" s="108"/>
      <c r="DH29" s="108"/>
      <c r="DI29" s="108"/>
      <c r="DJ29" s="108"/>
      <c r="DK29" s="108"/>
      <c r="DL29" s="108"/>
      <c r="DM29" s="108"/>
      <c r="DN29" s="108"/>
      <c r="DO29" s="108"/>
      <c r="DP29" s="108"/>
      <c r="DQ29" s="108"/>
      <c r="DR29" s="108"/>
      <c r="DS29" s="108"/>
      <c r="DT29" s="108"/>
      <c r="DU29" s="108"/>
      <c r="DV29" s="108"/>
      <c r="DW29" s="108"/>
      <c r="DX29" s="108"/>
      <c r="DY29" s="108"/>
      <c r="DZ29" s="108"/>
      <c r="EA29" s="108"/>
      <c r="EB29" s="108"/>
      <c r="EC29" s="108"/>
      <c r="ED29" s="108"/>
      <c r="EE29" s="108"/>
      <c r="EF29" s="108"/>
      <c r="EG29" s="108"/>
      <c r="EH29" s="108"/>
      <c r="EI29" s="108"/>
      <c r="EJ29" s="108"/>
      <c r="EK29" s="108"/>
      <c r="EL29" s="108"/>
      <c r="EM29" s="108"/>
      <c r="EN29" s="108"/>
      <c r="EO29" s="108"/>
      <c r="EP29" s="108"/>
      <c r="EQ29" s="108"/>
      <c r="ER29" s="108"/>
      <c r="ES29" s="108"/>
      <c r="ET29" s="108"/>
      <c r="EU29" s="108"/>
      <c r="EV29" s="108"/>
      <c r="EW29" s="108"/>
      <c r="EX29" s="108"/>
      <c r="EY29" s="108"/>
      <c r="EZ29" s="108"/>
      <c r="FA29" s="108"/>
      <c r="FB29" s="108"/>
      <c r="FC29" s="108"/>
      <c r="FD29" s="108"/>
      <c r="FE29" s="108"/>
      <c r="FF29" s="108"/>
      <c r="FG29" s="108"/>
      <c r="FH29" s="108"/>
      <c r="FI29" s="108"/>
      <c r="FJ29" s="108"/>
      <c r="FK29" s="108"/>
      <c r="FL29" s="108"/>
      <c r="FM29" s="108"/>
      <c r="FN29" s="108"/>
      <c r="FO29" s="108"/>
      <c r="FP29" s="108"/>
      <c r="FQ29" s="108"/>
      <c r="FR29" s="108"/>
      <c r="FS29" s="108"/>
      <c r="FT29" s="108"/>
      <c r="FU29" s="108"/>
      <c r="FV29" s="108"/>
      <c r="FW29" s="108"/>
      <c r="FX29" s="108"/>
      <c r="FY29" s="108"/>
      <c r="FZ29" s="108"/>
      <c r="GA29" s="108"/>
      <c r="GB29" s="108"/>
      <c r="GC29" s="108"/>
      <c r="GD29" s="108"/>
      <c r="GE29" s="108"/>
      <c r="GF29" s="108"/>
      <c r="GG29" s="108"/>
      <c r="GH29" s="108"/>
      <c r="GI29" s="108"/>
      <c r="GJ29" s="108"/>
      <c r="GK29" s="108"/>
      <c r="GL29" s="108"/>
      <c r="GM29" s="108"/>
      <c r="GN29" s="108"/>
      <c r="GO29" s="108"/>
      <c r="GP29" s="108"/>
      <c r="GQ29" s="108"/>
      <c r="GR29" s="108"/>
      <c r="GS29" s="108"/>
      <c r="GT29" s="108"/>
      <c r="GU29" s="108"/>
      <c r="GV29" s="108"/>
      <c r="GW29" s="108"/>
      <c r="GX29" s="108"/>
      <c r="GY29" s="108"/>
      <c r="GZ29" s="108"/>
      <c r="HA29" s="108"/>
      <c r="HB29" s="108"/>
      <c r="HC29" s="108"/>
      <c r="HD29" s="108"/>
      <c r="HE29" s="108"/>
      <c r="HF29" s="108"/>
      <c r="HG29" s="108"/>
      <c r="HH29" s="108"/>
      <c r="HI29" s="108"/>
      <c r="HJ29" s="108"/>
      <c r="HK29" s="108"/>
      <c r="HL29" s="108"/>
      <c r="HM29" s="108"/>
      <c r="HN29" s="108"/>
      <c r="HO29" s="108"/>
      <c r="HP29" s="108"/>
      <c r="HQ29" s="108"/>
      <c r="HR29" s="108"/>
      <c r="HS29" s="108"/>
      <c r="HT29" s="108"/>
      <c r="HU29" s="108"/>
      <c r="HV29" s="108"/>
      <c r="HW29" s="108"/>
      <c r="HX29" s="108"/>
      <c r="HY29" s="108"/>
      <c r="HZ29" s="108"/>
      <c r="IA29" s="108"/>
      <c r="IB29" s="108"/>
      <c r="IC29" s="108"/>
      <c r="ID29" s="108"/>
      <c r="IE29" s="108"/>
      <c r="IF29" s="108"/>
      <c r="IG29" s="108"/>
      <c r="IH29" s="108"/>
      <c r="II29" s="108"/>
      <c r="IJ29" s="108"/>
      <c r="IK29" s="108"/>
      <c r="IL29" s="108"/>
      <c r="IM29" s="108"/>
      <c r="IN29" s="108"/>
      <c r="IO29" s="108"/>
      <c r="IP29" s="108"/>
      <c r="IQ29" s="108"/>
      <c r="IR29" s="108"/>
      <c r="IS29" s="108"/>
      <c r="IT29" s="108"/>
      <c r="IU29" s="108"/>
      <c r="IV29" s="108"/>
      <c r="IW29" s="108"/>
    </row>
    <row r="30" customFormat="false" ht="12.75" hidden="false" customHeight="false" outlineLevel="0" collapsed="false">
      <c r="A30" s="568" t="s">
        <v>520</v>
      </c>
      <c r="B30" s="403"/>
      <c r="C30" s="403"/>
      <c r="D30" s="403"/>
      <c r="E30" s="403"/>
      <c r="F30" s="570" t="n">
        <f aca="false">IF(-F25+E25&lt;0,-F25+E25,0)</f>
        <v>0</v>
      </c>
      <c r="G30" s="570" t="n">
        <f aca="false">IF(-G25+F25&lt;0,-G25+F25,0)</f>
        <v>0</v>
      </c>
      <c r="H30" s="570" t="n">
        <f aca="false">IF(-H25+G25&lt;0,-H25+G25,0)</f>
        <v>0</v>
      </c>
      <c r="I30" s="570" t="n">
        <f aca="false">IF(-I25+H25&lt;0,-I25+H25,0)</f>
        <v>-5093.30482979046</v>
      </c>
      <c r="J30" s="570" t="n">
        <f aca="false">IF(-J25+I25&lt;0,-J25+I25,0)</f>
        <v>-6188.13937756333</v>
      </c>
      <c r="K30" s="570" t="n">
        <f aca="false">IF(-K25+J25&lt;0,-K25+J25,0)</f>
        <v>-4949.2006012693</v>
      </c>
      <c r="L30" s="570" t="n">
        <f aca="false">IF(-L25+K25&lt;0,-L25+K25,0)</f>
        <v>-5319.40289573351</v>
      </c>
      <c r="M30" s="570" t="n">
        <f aca="false">IF(-M25+L25&lt;0,-M25+L25,0)</f>
        <v>-5427.61159749414</v>
      </c>
      <c r="N30" s="570" t="n">
        <f aca="false">IF(-N25+M25&lt;0,-N25+M25,0)</f>
        <v>-5050.28824629369</v>
      </c>
      <c r="O30" s="570" t="n">
        <f aca="false">IF(-O25+N25&lt;0,-O25+N25,0)</f>
        <v>-1793.90530618424</v>
      </c>
      <c r="P30" s="570" t="n">
        <f aca="false">IF(-P25+O25&lt;0,-P25+O25,0)</f>
        <v>0</v>
      </c>
      <c r="Q30" s="570" t="n">
        <f aca="false">IF(-Q25+P25&lt;0,-Q25+P25,0)</f>
        <v>0</v>
      </c>
      <c r="R30" s="570" t="n">
        <f aca="false">IF(-R25+Q25&lt;0,-R25+Q25,0)</f>
        <v>0</v>
      </c>
      <c r="S30" s="570" t="n">
        <f aca="false">IF(-S25+R25&lt;0,-S25+R25,0)</f>
        <v>0</v>
      </c>
      <c r="T30" s="570" t="n">
        <f aca="false">IF(-T25+S25&lt;0,-T25+S25,0)</f>
        <v>0</v>
      </c>
      <c r="U30" s="570" t="n">
        <f aca="false">IF(-U25+T25&lt;0,-U25+T25,0)</f>
        <v>0</v>
      </c>
      <c r="V30" s="570" t="n">
        <f aca="false">IF(-V25+U25&lt;0,-V25+U25,0)</f>
        <v>0</v>
      </c>
      <c r="W30" s="570" t="n">
        <f aca="false">IF(-W25+V25&lt;0,-W25+V25,0)</f>
        <v>0</v>
      </c>
      <c r="X30" s="570" t="n">
        <f aca="false">IF(-X25+W25&lt;0,-X25+W25,0)</f>
        <v>0</v>
      </c>
      <c r="Y30" s="570" t="n">
        <f aca="false">IF(-Y25+X25&lt;0,-Y25+X25,0)</f>
        <v>0</v>
      </c>
      <c r="Z30" s="570" t="n">
        <f aca="false">IF(-Z25+Y25&lt;0,-Z25+Y25,0)</f>
        <v>-16164.8165531078</v>
      </c>
      <c r="AA30" s="571" t="n">
        <f aca="false">SUM(F30:Z30)</f>
        <v>-49986.6694074364</v>
      </c>
      <c r="AB30" s="108"/>
      <c r="AC30" s="553" t="n">
        <f aca="false">AC29+1</f>
        <v>24</v>
      </c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</row>
    <row r="31" customFormat="false" ht="12.75" hidden="false" customHeight="false" outlineLevel="0" collapsed="false">
      <c r="A31" s="572" t="s">
        <v>521</v>
      </c>
      <c r="B31" s="573"/>
      <c r="C31" s="573"/>
      <c r="D31" s="573"/>
      <c r="E31" s="573"/>
      <c r="F31" s="574" t="n">
        <f aca="false">SUM(F28:F30)</f>
        <v>0</v>
      </c>
      <c r="G31" s="574" t="n">
        <f aca="false">SUM(G28:G30)</f>
        <v>0</v>
      </c>
      <c r="H31" s="574" t="n">
        <f aca="false">SUM(H28:H30)</f>
        <v>417.210678711196</v>
      </c>
      <c r="I31" s="574" t="n">
        <f aca="false">SUM(I28:I30)</f>
        <v>-4676.09415107926</v>
      </c>
      <c r="J31" s="574" t="n">
        <f aca="false">SUM(J28:J30)</f>
        <v>-10864.2335286426</v>
      </c>
      <c r="K31" s="574" t="n">
        <f aca="false">SUM(K28:K30)</f>
        <v>-15813.4341299119</v>
      </c>
      <c r="L31" s="574" t="n">
        <f aca="false">SUM(L28:L30)</f>
        <v>-21132.8370256454</v>
      </c>
      <c r="M31" s="574" t="n">
        <f aca="false">SUM(M28:M30)</f>
        <v>-26560.4486231395</v>
      </c>
      <c r="N31" s="574" t="n">
        <f aca="false">SUM(N28:N30)</f>
        <v>-31610.7368694332</v>
      </c>
      <c r="O31" s="574" t="n">
        <f aca="false">SUM(O28:O30)</f>
        <v>-33404.6421756175</v>
      </c>
      <c r="P31" s="574" t="n">
        <f aca="false">SUM(P28:P30)</f>
        <v>-32502.7801061717</v>
      </c>
      <c r="Q31" s="574" t="n">
        <f aca="false">SUM(Q28:Q30)</f>
        <v>-31103.9402073406</v>
      </c>
      <c r="R31" s="574" t="n">
        <f aca="false">SUM(R28:R30)</f>
        <v>-30065.5610388681</v>
      </c>
      <c r="S31" s="574" t="n">
        <f aca="false">SUM(S28:S30)</f>
        <v>-29363.8493826439</v>
      </c>
      <c r="T31" s="574" t="n">
        <f aca="false">SUM(T28:T30)</f>
        <v>-25399.7720763136</v>
      </c>
      <c r="U31" s="574" t="n">
        <f aca="false">SUM(U28:U30)</f>
        <v>-20218.7767557272</v>
      </c>
      <c r="V31" s="574" t="n">
        <f aca="false">SUM(V28:V30)</f>
        <v>-12413.6702956259</v>
      </c>
      <c r="W31" s="574" t="n">
        <f aca="false">SUM(W28:W30)</f>
        <v>627.090600496213</v>
      </c>
      <c r="X31" s="574" t="n">
        <f aca="false">SUM(X28:X30)</f>
        <v>9844.21632092313</v>
      </c>
      <c r="Y31" s="574" t="n">
        <f aca="false">SUM(Y28:Y30)</f>
        <v>16164.8165531078</v>
      </c>
      <c r="Z31" s="574" t="n">
        <f aca="false">SUM(Z28:Z30)</f>
        <v>0</v>
      </c>
      <c r="AA31" s="575" t="n">
        <f aca="false">SUM(AA28:AA30)</f>
        <v>0</v>
      </c>
      <c r="AC31" s="553" t="n">
        <f aca="false">AC30+1</f>
        <v>25</v>
      </c>
    </row>
    <row r="32" customFormat="false" ht="12.75" hidden="false" customHeight="false" outlineLevel="0" collapsed="false">
      <c r="A32" s="82"/>
      <c r="B32" s="66"/>
      <c r="C32" s="66"/>
      <c r="D32" s="66"/>
      <c r="E32" s="66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348"/>
      <c r="Q32" s="348"/>
      <c r="R32" s="348"/>
      <c r="S32" s="348"/>
      <c r="T32" s="348"/>
      <c r="U32" s="348"/>
      <c r="V32" s="348"/>
      <c r="W32" s="348"/>
      <c r="X32" s="348"/>
      <c r="Y32" s="348"/>
      <c r="Z32" s="348"/>
      <c r="AA32" s="561"/>
      <c r="AB32" s="562"/>
      <c r="AC32" s="553" t="n">
        <f aca="false">AC31+1</f>
        <v>26</v>
      </c>
      <c r="AD32" s="562"/>
      <c r="AE32" s="562"/>
      <c r="AF32" s="562"/>
      <c r="AG32" s="562"/>
      <c r="AH32" s="562"/>
      <c r="AI32" s="562"/>
      <c r="AJ32" s="562"/>
      <c r="AK32" s="562"/>
      <c r="AL32" s="562"/>
      <c r="AM32" s="562"/>
      <c r="AN32" s="562"/>
      <c r="AO32" s="562"/>
      <c r="AP32" s="562"/>
      <c r="AQ32" s="562"/>
      <c r="AR32" s="562"/>
      <c r="AS32" s="562"/>
      <c r="AT32" s="562"/>
      <c r="AU32" s="562"/>
      <c r="AV32" s="562"/>
      <c r="AW32" s="562"/>
      <c r="AX32" s="562"/>
      <c r="AY32" s="562"/>
      <c r="AZ32" s="562"/>
      <c r="BA32" s="562"/>
      <c r="BB32" s="562"/>
      <c r="BC32" s="562"/>
      <c r="BD32" s="562"/>
      <c r="BE32" s="562"/>
      <c r="BF32" s="562"/>
      <c r="BG32" s="562"/>
      <c r="BH32" s="562"/>
      <c r="BI32" s="562"/>
      <c r="BJ32" s="562"/>
      <c r="BK32" s="562"/>
      <c r="BL32" s="562"/>
      <c r="BM32" s="562"/>
      <c r="BN32" s="562"/>
      <c r="BO32" s="562"/>
      <c r="BP32" s="562"/>
      <c r="BQ32" s="562"/>
      <c r="BR32" s="562"/>
      <c r="BS32" s="562"/>
      <c r="BT32" s="562"/>
      <c r="BU32" s="562"/>
      <c r="BV32" s="562"/>
      <c r="BW32" s="562"/>
      <c r="BX32" s="562"/>
      <c r="BY32" s="562"/>
      <c r="BZ32" s="562"/>
      <c r="CA32" s="562"/>
      <c r="CB32" s="562"/>
      <c r="CC32" s="562"/>
      <c r="CD32" s="562"/>
      <c r="CE32" s="562"/>
      <c r="CF32" s="562"/>
      <c r="CG32" s="562"/>
      <c r="CH32" s="562"/>
      <c r="CI32" s="562"/>
      <c r="CJ32" s="562"/>
      <c r="CK32" s="562"/>
      <c r="CL32" s="562"/>
      <c r="CM32" s="562"/>
      <c r="CN32" s="562"/>
      <c r="CO32" s="562"/>
      <c r="CP32" s="562"/>
      <c r="CQ32" s="562"/>
      <c r="CR32" s="562"/>
      <c r="CS32" s="562"/>
      <c r="CT32" s="562"/>
      <c r="CU32" s="562"/>
      <c r="CV32" s="562"/>
      <c r="CW32" s="562"/>
      <c r="CX32" s="562"/>
      <c r="CY32" s="562"/>
      <c r="CZ32" s="562"/>
      <c r="DA32" s="562"/>
      <c r="DB32" s="562"/>
      <c r="DC32" s="562"/>
      <c r="DD32" s="562"/>
      <c r="DE32" s="562"/>
      <c r="DF32" s="562"/>
      <c r="DG32" s="562"/>
      <c r="DH32" s="562"/>
      <c r="DI32" s="562"/>
      <c r="DJ32" s="562"/>
      <c r="DK32" s="562"/>
      <c r="DL32" s="562"/>
      <c r="DM32" s="562"/>
      <c r="DN32" s="562"/>
      <c r="DO32" s="562"/>
      <c r="DP32" s="562"/>
      <c r="DQ32" s="562"/>
      <c r="DR32" s="562"/>
      <c r="DS32" s="562"/>
      <c r="DT32" s="562"/>
      <c r="DU32" s="562"/>
      <c r="DV32" s="562"/>
      <c r="DW32" s="562"/>
      <c r="DX32" s="562"/>
      <c r="DY32" s="562"/>
      <c r="DZ32" s="562"/>
      <c r="EA32" s="562"/>
      <c r="EB32" s="562"/>
      <c r="EC32" s="562"/>
      <c r="ED32" s="562"/>
      <c r="EE32" s="562"/>
      <c r="EF32" s="562"/>
      <c r="EG32" s="562"/>
      <c r="EH32" s="562"/>
      <c r="EI32" s="562"/>
      <c r="EJ32" s="562"/>
      <c r="EK32" s="562"/>
      <c r="EL32" s="562"/>
      <c r="EM32" s="562"/>
      <c r="EN32" s="562"/>
      <c r="EO32" s="562"/>
      <c r="EP32" s="562"/>
      <c r="EQ32" s="562"/>
      <c r="ER32" s="562"/>
      <c r="ES32" s="562"/>
      <c r="ET32" s="562"/>
      <c r="EU32" s="562"/>
      <c r="EV32" s="562"/>
      <c r="EW32" s="562"/>
      <c r="EX32" s="562"/>
      <c r="EY32" s="562"/>
      <c r="EZ32" s="562"/>
      <c r="FA32" s="562"/>
      <c r="FB32" s="562"/>
      <c r="FC32" s="562"/>
      <c r="FD32" s="562"/>
      <c r="FE32" s="562"/>
      <c r="FF32" s="562"/>
      <c r="FG32" s="562"/>
      <c r="FH32" s="562"/>
      <c r="FI32" s="562"/>
      <c r="FJ32" s="562"/>
      <c r="FK32" s="562"/>
      <c r="FL32" s="562"/>
      <c r="FM32" s="562"/>
      <c r="FN32" s="562"/>
      <c r="FO32" s="562"/>
      <c r="FP32" s="562"/>
      <c r="FQ32" s="562"/>
      <c r="FR32" s="562"/>
      <c r="FS32" s="562"/>
      <c r="FT32" s="562"/>
      <c r="FU32" s="562"/>
      <c r="FV32" s="562"/>
      <c r="FW32" s="562"/>
      <c r="FX32" s="562"/>
      <c r="FY32" s="562"/>
      <c r="FZ32" s="562"/>
      <c r="GA32" s="562"/>
      <c r="GB32" s="562"/>
      <c r="GC32" s="562"/>
      <c r="GD32" s="562"/>
      <c r="GE32" s="562"/>
      <c r="GF32" s="562"/>
      <c r="GG32" s="562"/>
      <c r="GH32" s="562"/>
      <c r="GI32" s="562"/>
      <c r="GJ32" s="562"/>
      <c r="GK32" s="562"/>
      <c r="GL32" s="562"/>
      <c r="GM32" s="562"/>
      <c r="GN32" s="562"/>
      <c r="GO32" s="562"/>
      <c r="GP32" s="562"/>
      <c r="GQ32" s="562"/>
      <c r="GR32" s="562"/>
      <c r="GS32" s="562"/>
      <c r="GT32" s="562"/>
      <c r="GU32" s="562"/>
      <c r="GV32" s="562"/>
      <c r="GW32" s="562"/>
      <c r="GX32" s="562"/>
      <c r="GY32" s="562"/>
      <c r="GZ32" s="562"/>
      <c r="HA32" s="562"/>
      <c r="HB32" s="562"/>
      <c r="HC32" s="562"/>
      <c r="HD32" s="562"/>
      <c r="HE32" s="562"/>
      <c r="HF32" s="562"/>
      <c r="HG32" s="562"/>
      <c r="HH32" s="562"/>
      <c r="HI32" s="562"/>
      <c r="HJ32" s="562"/>
      <c r="HK32" s="562"/>
      <c r="HL32" s="562"/>
      <c r="HM32" s="562"/>
      <c r="HN32" s="562"/>
      <c r="HO32" s="562"/>
      <c r="HP32" s="562"/>
      <c r="HQ32" s="562"/>
      <c r="HR32" s="562"/>
      <c r="HS32" s="562"/>
      <c r="HT32" s="562"/>
      <c r="HU32" s="562"/>
      <c r="HV32" s="562"/>
      <c r="HW32" s="562"/>
      <c r="HX32" s="562"/>
      <c r="HY32" s="562"/>
      <c r="HZ32" s="562"/>
      <c r="IA32" s="562"/>
      <c r="IB32" s="562"/>
      <c r="IC32" s="562"/>
      <c r="ID32" s="562"/>
      <c r="IE32" s="562"/>
      <c r="IF32" s="562"/>
      <c r="IG32" s="562"/>
      <c r="IH32" s="562"/>
      <c r="II32" s="562"/>
      <c r="IJ32" s="562"/>
      <c r="IK32" s="562"/>
      <c r="IL32" s="562"/>
      <c r="IM32" s="562"/>
      <c r="IN32" s="562"/>
      <c r="IO32" s="562"/>
      <c r="IP32" s="562"/>
      <c r="IQ32" s="562"/>
      <c r="IR32" s="562"/>
      <c r="IS32" s="562"/>
      <c r="IT32" s="562"/>
      <c r="IU32" s="562"/>
      <c r="IV32" s="562"/>
      <c r="IW32" s="562"/>
    </row>
    <row r="33" customFormat="false" ht="12.75" hidden="false" customHeight="false" outlineLevel="0" collapsed="false">
      <c r="A33" s="82" t="s">
        <v>522</v>
      </c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552"/>
      <c r="AB33" s="108"/>
      <c r="AC33" s="553" t="n">
        <f aca="false">AC32+1</f>
        <v>27</v>
      </c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  <c r="CK33" s="108"/>
      <c r="CL33" s="108"/>
      <c r="CM33" s="108"/>
      <c r="CN33" s="108"/>
      <c r="CO33" s="108"/>
      <c r="CP33" s="108"/>
      <c r="CQ33" s="108"/>
      <c r="CR33" s="108"/>
      <c r="CS33" s="108"/>
      <c r="CT33" s="108"/>
      <c r="CU33" s="108"/>
      <c r="CV33" s="108"/>
      <c r="CW33" s="108"/>
      <c r="CX33" s="108"/>
      <c r="CY33" s="108"/>
      <c r="CZ33" s="108"/>
      <c r="DA33" s="108"/>
      <c r="DB33" s="108"/>
      <c r="DC33" s="108"/>
      <c r="DD33" s="108"/>
      <c r="DE33" s="108"/>
      <c r="DF33" s="108"/>
      <c r="DG33" s="108"/>
      <c r="DH33" s="108"/>
      <c r="DI33" s="108"/>
      <c r="DJ33" s="108"/>
      <c r="DK33" s="108"/>
      <c r="DL33" s="108"/>
      <c r="DM33" s="108"/>
      <c r="DN33" s="108"/>
      <c r="DO33" s="108"/>
      <c r="DP33" s="108"/>
      <c r="DQ33" s="108"/>
      <c r="DR33" s="108"/>
      <c r="DS33" s="108"/>
      <c r="DT33" s="108"/>
      <c r="DU33" s="108"/>
      <c r="DV33" s="108"/>
      <c r="DW33" s="108"/>
      <c r="DX33" s="108"/>
      <c r="DY33" s="108"/>
      <c r="DZ33" s="108"/>
      <c r="EA33" s="108"/>
      <c r="EB33" s="108"/>
      <c r="EC33" s="108"/>
      <c r="ED33" s="108"/>
      <c r="EE33" s="108"/>
      <c r="EF33" s="108"/>
      <c r="EG33" s="108"/>
      <c r="EH33" s="108"/>
      <c r="EI33" s="108"/>
      <c r="EJ33" s="108"/>
      <c r="EK33" s="108"/>
      <c r="EL33" s="108"/>
      <c r="EM33" s="108"/>
      <c r="EN33" s="108"/>
      <c r="EO33" s="108"/>
      <c r="EP33" s="108"/>
      <c r="EQ33" s="108"/>
      <c r="ER33" s="108"/>
      <c r="ES33" s="108"/>
      <c r="ET33" s="108"/>
      <c r="EU33" s="108"/>
      <c r="EV33" s="108"/>
      <c r="EW33" s="108"/>
      <c r="EX33" s="108"/>
      <c r="EY33" s="108"/>
      <c r="EZ33" s="108"/>
      <c r="FA33" s="108"/>
      <c r="FB33" s="108"/>
      <c r="FC33" s="108"/>
      <c r="FD33" s="108"/>
      <c r="FE33" s="108"/>
      <c r="FF33" s="108"/>
      <c r="FG33" s="108"/>
      <c r="FH33" s="108"/>
      <c r="FI33" s="108"/>
      <c r="FJ33" s="108"/>
      <c r="FK33" s="108"/>
      <c r="FL33" s="108"/>
      <c r="FM33" s="108"/>
      <c r="FN33" s="108"/>
      <c r="FO33" s="108"/>
      <c r="FP33" s="108"/>
      <c r="FQ33" s="108"/>
      <c r="FR33" s="108"/>
      <c r="FS33" s="108"/>
      <c r="FT33" s="108"/>
      <c r="FU33" s="108"/>
      <c r="FV33" s="108"/>
      <c r="FW33" s="108"/>
      <c r="FX33" s="108"/>
      <c r="FY33" s="108"/>
      <c r="FZ33" s="108"/>
      <c r="GA33" s="108"/>
      <c r="GB33" s="108"/>
      <c r="GC33" s="108"/>
      <c r="GD33" s="108"/>
      <c r="GE33" s="108"/>
      <c r="GF33" s="108"/>
      <c r="GG33" s="108"/>
      <c r="GH33" s="108"/>
      <c r="GI33" s="108"/>
      <c r="GJ33" s="108"/>
      <c r="GK33" s="108"/>
      <c r="GL33" s="108"/>
      <c r="GM33" s="108"/>
      <c r="GN33" s="108"/>
      <c r="GO33" s="108"/>
      <c r="GP33" s="108"/>
      <c r="GQ33" s="108"/>
      <c r="GR33" s="108"/>
      <c r="GS33" s="108"/>
      <c r="GT33" s="108"/>
      <c r="GU33" s="108"/>
      <c r="GV33" s="108"/>
      <c r="GW33" s="108"/>
      <c r="GX33" s="108"/>
      <c r="GY33" s="108"/>
      <c r="GZ33" s="108"/>
      <c r="HA33" s="108"/>
      <c r="HB33" s="108"/>
      <c r="HC33" s="108"/>
      <c r="HD33" s="108"/>
      <c r="HE33" s="108"/>
      <c r="HF33" s="108"/>
      <c r="HG33" s="108"/>
      <c r="HH33" s="108"/>
      <c r="HI33" s="108"/>
      <c r="HJ33" s="108"/>
      <c r="HK33" s="108"/>
      <c r="HL33" s="108"/>
      <c r="HM33" s="108"/>
      <c r="HN33" s="108"/>
      <c r="HO33" s="108"/>
      <c r="HP33" s="108"/>
      <c r="HQ33" s="108"/>
      <c r="HR33" s="108"/>
      <c r="HS33" s="108"/>
      <c r="HT33" s="108"/>
      <c r="HU33" s="108"/>
      <c r="HV33" s="108"/>
      <c r="HW33" s="108"/>
      <c r="HX33" s="108"/>
      <c r="HY33" s="108"/>
      <c r="HZ33" s="108"/>
      <c r="IA33" s="108"/>
      <c r="IB33" s="108"/>
      <c r="IC33" s="108"/>
      <c r="ID33" s="108"/>
      <c r="IE33" s="108"/>
      <c r="IF33" s="108"/>
      <c r="IG33" s="108"/>
      <c r="IH33" s="108"/>
      <c r="II33" s="108"/>
      <c r="IJ33" s="108"/>
      <c r="IK33" s="108"/>
      <c r="IL33" s="108"/>
      <c r="IM33" s="108"/>
      <c r="IN33" s="108"/>
      <c r="IO33" s="108"/>
      <c r="IP33" s="108"/>
      <c r="IQ33" s="108"/>
      <c r="IR33" s="108"/>
      <c r="IS33" s="108"/>
      <c r="IT33" s="108"/>
      <c r="IU33" s="108"/>
      <c r="IV33" s="108"/>
      <c r="IW33" s="108"/>
    </row>
    <row r="34" customFormat="false" ht="12.75" hidden="false" customHeight="false" outlineLevel="0" collapsed="false">
      <c r="A34" s="72" t="s">
        <v>472</v>
      </c>
      <c r="B34" s="108"/>
      <c r="C34" s="108"/>
      <c r="D34" s="108"/>
      <c r="E34" s="108"/>
      <c r="F34" s="576" t="n">
        <v>0</v>
      </c>
      <c r="G34" s="577" t="n">
        <f aca="false">F37</f>
        <v>0</v>
      </c>
      <c r="H34" s="577" t="n">
        <f aca="false">G37</f>
        <v>0</v>
      </c>
      <c r="I34" s="577" t="n">
        <f aca="false">H37</f>
        <v>0</v>
      </c>
      <c r="J34" s="577" t="n">
        <f aca="false">I37</f>
        <v>417.210678711196</v>
      </c>
      <c r="K34" s="577" t="n">
        <f aca="false">J37</f>
        <v>-4676.09415107926</v>
      </c>
      <c r="L34" s="577" t="n">
        <f aca="false">K37</f>
        <v>-10864.2335286426</v>
      </c>
      <c r="M34" s="577" t="n">
        <f aca="false">L37</f>
        <v>-15813.4341299119</v>
      </c>
      <c r="N34" s="577" t="n">
        <f aca="false">M37</f>
        <v>-21132.8370256454</v>
      </c>
      <c r="O34" s="577" t="n">
        <f aca="false">N37</f>
        <v>-26560.4486231395</v>
      </c>
      <c r="P34" s="577" t="n">
        <f aca="false">O37</f>
        <v>-31610.7368694332</v>
      </c>
      <c r="Q34" s="577" t="n">
        <f aca="false">P37</f>
        <v>-33404.6421756175</v>
      </c>
      <c r="R34" s="577" t="n">
        <f aca="false">Q37</f>
        <v>-32502.7801061717</v>
      </c>
      <c r="S34" s="577" t="n">
        <f aca="false">R37</f>
        <v>-31103.9402073406</v>
      </c>
      <c r="T34" s="577" t="n">
        <f aca="false">S37</f>
        <v>-30065.5610388681</v>
      </c>
      <c r="U34" s="577" t="n">
        <f aca="false">T37</f>
        <v>-29363.8493826439</v>
      </c>
      <c r="V34" s="577" t="n">
        <f aca="false">U37</f>
        <v>-25399.7720763136</v>
      </c>
      <c r="W34" s="577" t="n">
        <f aca="false">V37</f>
        <v>-20218.7767557272</v>
      </c>
      <c r="X34" s="577" t="n">
        <f aca="false">W37</f>
        <v>-12413.6702956259</v>
      </c>
      <c r="Y34" s="577" t="n">
        <f aca="false">X37</f>
        <v>627.090600496213</v>
      </c>
      <c r="Z34" s="577" t="n">
        <f aca="false">Y37</f>
        <v>9844.21632092313</v>
      </c>
      <c r="AA34" s="558" t="n">
        <f aca="false">F34</f>
        <v>0</v>
      </c>
      <c r="AC34" s="553" t="n">
        <f aca="false">AC33+1</f>
        <v>28</v>
      </c>
    </row>
    <row r="35" customFormat="false" ht="12.75" hidden="false" customHeight="false" outlineLevel="0" collapsed="false">
      <c r="A35" s="72" t="s">
        <v>523</v>
      </c>
      <c r="B35" s="108"/>
      <c r="C35" s="108"/>
      <c r="D35" s="108"/>
      <c r="E35" s="108"/>
      <c r="F35" s="577" t="n">
        <f aca="false">E29</f>
        <v>0</v>
      </c>
      <c r="G35" s="577" t="n">
        <f aca="false">F29</f>
        <v>0</v>
      </c>
      <c r="H35" s="577" t="n">
        <f aca="false">G29</f>
        <v>0</v>
      </c>
      <c r="I35" s="577" t="n">
        <f aca="false">H29</f>
        <v>417.210678711196</v>
      </c>
      <c r="J35" s="577" t="n">
        <f aca="false">I29</f>
        <v>0</v>
      </c>
      <c r="K35" s="577" t="n">
        <f aca="false">J29</f>
        <v>0</v>
      </c>
      <c r="L35" s="577" t="n">
        <f aca="false">K29</f>
        <v>0</v>
      </c>
      <c r="M35" s="577" t="n">
        <f aca="false">L29</f>
        <v>0</v>
      </c>
      <c r="N35" s="577" t="n">
        <f aca="false">M29</f>
        <v>0</v>
      </c>
      <c r="O35" s="577" t="n">
        <f aca="false">N29</f>
        <v>0</v>
      </c>
      <c r="P35" s="577" t="n">
        <f aca="false">O29</f>
        <v>0</v>
      </c>
      <c r="Q35" s="577" t="n">
        <f aca="false">P29</f>
        <v>901.86206944576</v>
      </c>
      <c r="R35" s="577" t="n">
        <f aca="false">Q29</f>
        <v>1398.83989883108</v>
      </c>
      <c r="S35" s="577" t="n">
        <f aca="false">R29</f>
        <v>1038.37916847248</v>
      </c>
      <c r="T35" s="577" t="n">
        <f aca="false">S29</f>
        <v>701.711656224285</v>
      </c>
      <c r="U35" s="577" t="n">
        <f aca="false">T29</f>
        <v>3964.0773063303</v>
      </c>
      <c r="V35" s="577" t="n">
        <f aca="false">U29</f>
        <v>5180.99532058638</v>
      </c>
      <c r="W35" s="577" t="n">
        <f aca="false">V29</f>
        <v>7805.10646010131</v>
      </c>
      <c r="X35" s="577" t="n">
        <f aca="false">W29</f>
        <v>13040.7608961221</v>
      </c>
      <c r="Y35" s="577" t="n">
        <f aca="false">X29</f>
        <v>9217.12572042692</v>
      </c>
      <c r="Z35" s="577" t="n">
        <f aca="false">Y29</f>
        <v>6320.60023218462</v>
      </c>
      <c r="AA35" s="558" t="n">
        <f aca="false">SUM(F35:Z35)</f>
        <v>49986.6694074364</v>
      </c>
      <c r="AC35" s="553" t="n">
        <f aca="false">AC34+1</f>
        <v>29</v>
      </c>
    </row>
    <row r="36" customFormat="false" ht="12.75" hidden="false" customHeight="false" outlineLevel="0" collapsed="false">
      <c r="A36" s="72" t="s">
        <v>524</v>
      </c>
      <c r="B36" s="108"/>
      <c r="C36" s="108"/>
      <c r="D36" s="108"/>
      <c r="E36" s="108"/>
      <c r="F36" s="578" t="n">
        <f aca="false">IF(F$7=YEAR(Endyr),F30,E30)</f>
        <v>0</v>
      </c>
      <c r="G36" s="578" t="n">
        <f aca="false">IF(G$7=YEAR(Endyr),G30,F30)</f>
        <v>0</v>
      </c>
      <c r="H36" s="578" t="n">
        <f aca="false">IF(H$7=YEAR(Endyr),H30,G30)</f>
        <v>0</v>
      </c>
      <c r="I36" s="578" t="n">
        <f aca="false">IF(I$7=YEAR(Endyr),I30,H30)</f>
        <v>0</v>
      </c>
      <c r="J36" s="578" t="n">
        <f aca="false">IF(J$7=YEAR(Endyr),J30,I30)</f>
        <v>-5093.30482979046</v>
      </c>
      <c r="K36" s="578" t="n">
        <f aca="false">IF(K$7=YEAR(Endyr),K30,J30)</f>
        <v>-6188.13937756333</v>
      </c>
      <c r="L36" s="578" t="n">
        <f aca="false">IF(L$7=YEAR(Endyr),L30,K30)</f>
        <v>-4949.2006012693</v>
      </c>
      <c r="M36" s="578" t="n">
        <f aca="false">IF(M$7=YEAR(Endyr),M30,L30)</f>
        <v>-5319.40289573351</v>
      </c>
      <c r="N36" s="578" t="n">
        <f aca="false">IF(N$7=YEAR(Endyr),N30,M30)</f>
        <v>-5427.61159749414</v>
      </c>
      <c r="O36" s="578" t="n">
        <f aca="false">IF(O$7=YEAR(Endyr),O30,N30)</f>
        <v>-5050.28824629369</v>
      </c>
      <c r="P36" s="578" t="n">
        <f aca="false">IF(P$7=YEAR(Endyr),P30,O30)</f>
        <v>-1793.90530618424</v>
      </c>
      <c r="Q36" s="578" t="n">
        <f aca="false">IF(Q$7=YEAR(Endyr),Q30,P30)</f>
        <v>0</v>
      </c>
      <c r="R36" s="578" t="n">
        <f aca="false">IF(R$7=YEAR(Endyr),R30,Q30)</f>
        <v>0</v>
      </c>
      <c r="S36" s="578" t="n">
        <f aca="false">IF(S$7=YEAR(Endyr),S30,R30)</f>
        <v>0</v>
      </c>
      <c r="T36" s="578" t="n">
        <f aca="false">IF(T$7=YEAR(Endyr),T30,S30)</f>
        <v>0</v>
      </c>
      <c r="U36" s="578" t="n">
        <f aca="false">IF(U$7=YEAR(Endyr),U30,T30)</f>
        <v>0</v>
      </c>
      <c r="V36" s="578" t="n">
        <f aca="false">IF(V$7=YEAR(Endyr),V30,U30)</f>
        <v>0</v>
      </c>
      <c r="W36" s="578" t="n">
        <f aca="false">IF(W$7=YEAR(Endyr),W30,V30)</f>
        <v>0</v>
      </c>
      <c r="X36" s="578" t="n">
        <f aca="false">IF(X$7=YEAR(Endyr),X30,W30)</f>
        <v>0</v>
      </c>
      <c r="Y36" s="578" t="n">
        <f aca="false">IF(Y$7=YEAR(Endyr),Y30,X30)</f>
        <v>0</v>
      </c>
      <c r="Z36" s="578" t="n">
        <f aca="false">IF(Z$7=YEAR(Endyr),Z30,Y30)</f>
        <v>-16164.8165531078</v>
      </c>
      <c r="AA36" s="560" t="n">
        <f aca="false">SUM(F36:Z36)</f>
        <v>-49986.6694074364</v>
      </c>
      <c r="AC36" s="553" t="n">
        <f aca="false">AC35+1</f>
        <v>30</v>
      </c>
    </row>
    <row r="37" customFormat="false" ht="12.75" hidden="false" customHeight="false" outlineLevel="0" collapsed="false">
      <c r="A37" s="72" t="s">
        <v>476</v>
      </c>
      <c r="B37" s="108"/>
      <c r="C37" s="108"/>
      <c r="D37" s="108"/>
      <c r="E37" s="108"/>
      <c r="F37" s="577" t="n">
        <f aca="false">SUM(F34:F36)</f>
        <v>0</v>
      </c>
      <c r="G37" s="577" t="n">
        <f aca="false">SUM(G34:G36)</f>
        <v>0</v>
      </c>
      <c r="H37" s="577" t="n">
        <f aca="false">SUM(H34:H36)</f>
        <v>0</v>
      </c>
      <c r="I37" s="577" t="n">
        <f aca="false">SUM(I34:I36)</f>
        <v>417.210678711196</v>
      </c>
      <c r="J37" s="577" t="n">
        <f aca="false">SUM(J34:J36)</f>
        <v>-4676.09415107926</v>
      </c>
      <c r="K37" s="577" t="n">
        <f aca="false">SUM(K34:K36)</f>
        <v>-10864.2335286426</v>
      </c>
      <c r="L37" s="577" t="n">
        <f aca="false">SUM(L34:L36)</f>
        <v>-15813.4341299119</v>
      </c>
      <c r="M37" s="577" t="n">
        <f aca="false">SUM(M34:M36)</f>
        <v>-21132.8370256454</v>
      </c>
      <c r="N37" s="577" t="n">
        <f aca="false">SUM(N34:N36)</f>
        <v>-26560.4486231395</v>
      </c>
      <c r="O37" s="577" t="n">
        <f aca="false">SUM(O34:O36)</f>
        <v>-31610.7368694332</v>
      </c>
      <c r="P37" s="577" t="n">
        <f aca="false">SUM(P34:P36)</f>
        <v>-33404.6421756175</v>
      </c>
      <c r="Q37" s="577" t="n">
        <f aca="false">SUM(Q34:Q36)</f>
        <v>-32502.7801061717</v>
      </c>
      <c r="R37" s="577" t="n">
        <f aca="false">SUM(R34:R36)</f>
        <v>-31103.9402073406</v>
      </c>
      <c r="S37" s="577" t="n">
        <f aca="false">SUM(S34:S36)</f>
        <v>-30065.5610388681</v>
      </c>
      <c r="T37" s="577" t="n">
        <f aca="false">SUM(T34:T36)</f>
        <v>-29363.8493826439</v>
      </c>
      <c r="U37" s="577" t="n">
        <f aca="false">SUM(U34:U36)</f>
        <v>-25399.7720763136</v>
      </c>
      <c r="V37" s="577" t="n">
        <f aca="false">SUM(V34:V36)</f>
        <v>-20218.7767557272</v>
      </c>
      <c r="W37" s="577" t="n">
        <f aca="false">SUM(W34:W36)</f>
        <v>-12413.6702956259</v>
      </c>
      <c r="X37" s="577" t="n">
        <f aca="false">SUM(X34:X36)</f>
        <v>627.090600496213</v>
      </c>
      <c r="Y37" s="577" t="n">
        <f aca="false">SUM(Y34:Y36)</f>
        <v>9844.21632092313</v>
      </c>
      <c r="Z37" s="577" t="n">
        <f aca="false">SUM(Z34:Z36)</f>
        <v>0</v>
      </c>
      <c r="AA37" s="558" t="n">
        <f aca="false">SUM(AA34:AA36)</f>
        <v>0</v>
      </c>
      <c r="AC37" s="553" t="n">
        <f aca="false">AC36+1</f>
        <v>31</v>
      </c>
    </row>
    <row r="38" customFormat="false" ht="12.75" hidden="false" customHeight="false" outlineLevel="0" collapsed="false">
      <c r="A38" s="72"/>
      <c r="B38" s="108"/>
      <c r="C38" s="108"/>
      <c r="D38" s="108"/>
      <c r="E38" s="108"/>
      <c r="F38" s="577"/>
      <c r="G38" s="577"/>
      <c r="H38" s="577"/>
      <c r="I38" s="577"/>
      <c r="J38" s="577"/>
      <c r="K38" s="577"/>
      <c r="L38" s="577"/>
      <c r="M38" s="577"/>
      <c r="N38" s="577"/>
      <c r="O38" s="577"/>
      <c r="P38" s="577"/>
      <c r="Q38" s="577"/>
      <c r="R38" s="577"/>
      <c r="S38" s="577"/>
      <c r="T38" s="577"/>
      <c r="U38" s="577"/>
      <c r="V38" s="577"/>
      <c r="W38" s="577"/>
      <c r="X38" s="577"/>
      <c r="Y38" s="577"/>
      <c r="Z38" s="577"/>
      <c r="AA38" s="558"/>
      <c r="AC38" s="553" t="n">
        <f aca="false">AC37+1</f>
        <v>32</v>
      </c>
    </row>
    <row r="39" customFormat="false" ht="12.75" hidden="false" customHeight="false" outlineLevel="0" collapsed="false">
      <c r="A39" s="72" t="s">
        <v>525</v>
      </c>
      <c r="B39" s="108"/>
      <c r="C39" s="108"/>
      <c r="D39" s="579" t="n">
        <f aca="false">Assm!$L$54</f>
        <v>0.05</v>
      </c>
      <c r="E39" s="108"/>
      <c r="F39" s="577" t="n">
        <f aca="false">SUM(F34:F35)*$D39*F$9/12</f>
        <v>0</v>
      </c>
      <c r="G39" s="577" t="n">
        <f aca="false">SUM(G34:G35)*$D39*G$9/12</f>
        <v>0</v>
      </c>
      <c r="H39" s="577" t="n">
        <f aca="false">SUM(H34:H35)*$D39*H$9/12</f>
        <v>0</v>
      </c>
      <c r="I39" s="577" t="n">
        <f aca="false">SUM(I34:I35)*$D39*I$9/12</f>
        <v>20.8605339355598</v>
      </c>
      <c r="J39" s="577" t="n">
        <f aca="false">SUM(J34:J35)*$D39*J$9/12</f>
        <v>20.8605339355598</v>
      </c>
      <c r="K39" s="577" t="n">
        <f aca="false">SUM(K34:K35)*$D39*K$9/12</f>
        <v>-233.804707553963</v>
      </c>
      <c r="L39" s="577" t="n">
        <f aca="false">SUM(L34:L35)*$D39*L$9/12</f>
        <v>-543.211676432129</v>
      </c>
      <c r="M39" s="577" t="n">
        <f aca="false">SUM(M34:M35)*$D39*M$9/12</f>
        <v>-790.671706495594</v>
      </c>
      <c r="N39" s="577" t="n">
        <f aca="false">SUM(N34:N35)*$D39*N$9/12</f>
        <v>-1056.64185128227</v>
      </c>
      <c r="O39" s="577" t="n">
        <f aca="false">SUM(O34:O35)*$D39*O$9/12</f>
        <v>-1328.02243115698</v>
      </c>
      <c r="P39" s="577" t="n">
        <f aca="false">SUM(P34:P35)*$D39*P$9/12</f>
        <v>-1580.53684347166</v>
      </c>
      <c r="Q39" s="577" t="n">
        <f aca="false">SUM(Q34:Q35)*$D39*Q$9/12</f>
        <v>-1625.13900530859</v>
      </c>
      <c r="R39" s="577" t="n">
        <f aca="false">SUM(R34:R35)*$D39*R$9/12</f>
        <v>-1555.19701036703</v>
      </c>
      <c r="S39" s="577" t="n">
        <f aca="false">SUM(S34:S35)*$D39*S$9/12</f>
        <v>-1503.27805194341</v>
      </c>
      <c r="T39" s="577" t="n">
        <f aca="false">SUM(T34:T35)*$D39*T$9/12</f>
        <v>-1468.19246913219</v>
      </c>
      <c r="U39" s="577" t="n">
        <f aca="false">SUM(U34:U35)*$D39*U$9/12</f>
        <v>-1269.98860381568</v>
      </c>
      <c r="V39" s="577" t="n">
        <f aca="false">SUM(V34:V35)*$D39*V$9/12</f>
        <v>-1010.93883778636</v>
      </c>
      <c r="W39" s="577" t="n">
        <f aca="false">SUM(W34:W35)*$D39*W$9/12</f>
        <v>-620.683514781294</v>
      </c>
      <c r="X39" s="577" t="n">
        <f aca="false">SUM(X34:X35)*$D39*X$9/12</f>
        <v>31.3545300248106</v>
      </c>
      <c r="Y39" s="577" t="n">
        <f aca="false">SUM(Y34:Y35)*$D39*Y$9/12</f>
        <v>492.210816046157</v>
      </c>
      <c r="Z39" s="577" t="n">
        <f aca="false">SUM(Z34:Z35)*$D39*Z$9/12</f>
        <v>269.413609218463</v>
      </c>
      <c r="AA39" s="558" t="n">
        <f aca="false">SUM(F39:Z39)</f>
        <v>-13751.6066863666</v>
      </c>
      <c r="AC39" s="553" t="n">
        <f aca="false">AC38+1</f>
        <v>33</v>
      </c>
    </row>
    <row r="40" customFormat="false" ht="12.75" hidden="false" customHeight="false" outlineLevel="0" collapsed="false">
      <c r="A40" s="580" t="s">
        <v>526</v>
      </c>
      <c r="B40" s="581"/>
      <c r="C40" s="581"/>
      <c r="D40" s="582" t="n">
        <f aca="false">Assm!$L$55</f>
        <v>0.06</v>
      </c>
      <c r="E40" s="581"/>
      <c r="F40" s="583" t="n">
        <f aca="false">SUM(F34:F35)*$D40*F$9/12</f>
        <v>0</v>
      </c>
      <c r="G40" s="583" t="n">
        <f aca="false">SUM(G34:G35)*$D40*G$9/12</f>
        <v>0</v>
      </c>
      <c r="H40" s="583" t="n">
        <f aca="false">SUM(H34:H35)*$D40*H$9/12</f>
        <v>0</v>
      </c>
      <c r="I40" s="583" t="n">
        <f aca="false">SUM(I34:I35)*$D40*I$9/12</f>
        <v>25.0326407226718</v>
      </c>
      <c r="J40" s="583" t="n">
        <f aca="false">SUM(J34:J35)*$D40*J$9/12</f>
        <v>25.0326407226718</v>
      </c>
      <c r="K40" s="583" t="n">
        <f aca="false">SUM(K34:K35)*$D40*K$9/12</f>
        <v>-280.565649064756</v>
      </c>
      <c r="L40" s="583" t="n">
        <f aca="false">SUM(L34:L35)*$D40*L$9/12</f>
        <v>-651.854011718555</v>
      </c>
      <c r="M40" s="583" t="n">
        <f aca="false">SUM(M34:M35)*$D40*M$9/12</f>
        <v>-948.806047794713</v>
      </c>
      <c r="N40" s="583" t="n">
        <f aca="false">SUM(N34:N35)*$D40*N$9/12</f>
        <v>-1267.97022153872</v>
      </c>
      <c r="O40" s="583" t="n">
        <f aca="false">SUM(O34:O35)*$D40*O$9/12</f>
        <v>-1593.62691738837</v>
      </c>
      <c r="P40" s="583" t="n">
        <f aca="false">SUM(P34:P35)*$D40*P$9/12</f>
        <v>-1896.64421216599</v>
      </c>
      <c r="Q40" s="583" t="n">
        <f aca="false">SUM(Q34:Q35)*$D40*Q$9/12</f>
        <v>-1950.1668063703</v>
      </c>
      <c r="R40" s="583" t="n">
        <f aca="false">SUM(R34:R35)*$D40*R$9/12</f>
        <v>-1866.23641244044</v>
      </c>
      <c r="S40" s="583" t="n">
        <f aca="false">SUM(S34:S35)*$D40*S$9/12</f>
        <v>-1803.93366233209</v>
      </c>
      <c r="T40" s="583" t="n">
        <f aca="false">SUM(T34:T35)*$D40*T$9/12</f>
        <v>-1761.83096295863</v>
      </c>
      <c r="U40" s="583" t="n">
        <f aca="false">SUM(U34:U35)*$D40*U$9/12</f>
        <v>-1523.98632457881</v>
      </c>
      <c r="V40" s="583" t="n">
        <f aca="false">SUM(V34:V35)*$D40*V$9/12</f>
        <v>-1213.12660534363</v>
      </c>
      <c r="W40" s="583" t="n">
        <f aca="false">SUM(W34:W35)*$D40*W$9/12</f>
        <v>-744.820217737553</v>
      </c>
      <c r="X40" s="583" t="n">
        <f aca="false">SUM(X34:X35)*$D40*X$9/12</f>
        <v>37.6254360297728</v>
      </c>
      <c r="Y40" s="583" t="n">
        <f aca="false">SUM(Y34:Y35)*$D40*Y$9/12</f>
        <v>590.652979255388</v>
      </c>
      <c r="Z40" s="583" t="n">
        <f aca="false">SUM(Z34:Z35)*$D40*Z$9/12</f>
        <v>323.296331062155</v>
      </c>
      <c r="AA40" s="584" t="n">
        <f aca="false">SUM(F40:Z40)</f>
        <v>-16501.9280236399</v>
      </c>
      <c r="AC40" s="553" t="n">
        <f aca="false">AC39+1</f>
        <v>34</v>
      </c>
    </row>
    <row r="41" customFormat="false" ht="12.75" hidden="false" customHeight="false" outlineLevel="0" collapsed="false">
      <c r="A41" s="72"/>
      <c r="B41" s="108"/>
      <c r="C41" s="108"/>
      <c r="D41" s="108"/>
      <c r="E41" s="108"/>
      <c r="F41" s="108"/>
      <c r="G41" s="585"/>
      <c r="H41" s="585"/>
      <c r="I41" s="585"/>
      <c r="J41" s="585"/>
      <c r="K41" s="585"/>
      <c r="L41" s="585"/>
      <c r="M41" s="585"/>
      <c r="N41" s="585"/>
      <c r="O41" s="585"/>
      <c r="P41" s="585"/>
      <c r="Q41" s="585"/>
      <c r="R41" s="585"/>
      <c r="S41" s="585"/>
      <c r="T41" s="585"/>
      <c r="U41" s="585"/>
      <c r="V41" s="585"/>
      <c r="W41" s="585"/>
      <c r="X41" s="585"/>
      <c r="Y41" s="585"/>
      <c r="Z41" s="585"/>
      <c r="AA41" s="552"/>
      <c r="AC41" s="553" t="n">
        <f aca="false">AC40+1</f>
        <v>35</v>
      </c>
    </row>
    <row r="42" customFormat="false" ht="12.75" hidden="false" customHeight="false" outlineLevel="0" collapsed="false">
      <c r="A42" s="82" t="s">
        <v>527</v>
      </c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552"/>
      <c r="AB42" s="108"/>
      <c r="AC42" s="553" t="n">
        <f aca="false">AC41+1</f>
        <v>36</v>
      </c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  <c r="CK42" s="108"/>
      <c r="CL42" s="108"/>
      <c r="CM42" s="108"/>
      <c r="CN42" s="108"/>
      <c r="CO42" s="108"/>
      <c r="CP42" s="108"/>
      <c r="CQ42" s="108"/>
      <c r="CR42" s="108"/>
      <c r="CS42" s="108"/>
      <c r="CT42" s="108"/>
      <c r="CU42" s="108"/>
      <c r="CV42" s="108"/>
      <c r="CW42" s="108"/>
      <c r="CX42" s="108"/>
      <c r="CY42" s="108"/>
      <c r="CZ42" s="108"/>
      <c r="DA42" s="108"/>
      <c r="DB42" s="108"/>
      <c r="DC42" s="108"/>
      <c r="DD42" s="108"/>
      <c r="DE42" s="108"/>
      <c r="DF42" s="108"/>
      <c r="DG42" s="108"/>
      <c r="DH42" s="108"/>
      <c r="DI42" s="108"/>
      <c r="DJ42" s="108"/>
      <c r="DK42" s="108"/>
      <c r="DL42" s="108"/>
      <c r="DM42" s="108"/>
      <c r="DN42" s="108"/>
      <c r="DO42" s="108"/>
      <c r="DP42" s="108"/>
      <c r="DQ42" s="108"/>
      <c r="DR42" s="108"/>
      <c r="DS42" s="108"/>
      <c r="DT42" s="108"/>
      <c r="DU42" s="108"/>
      <c r="DV42" s="108"/>
      <c r="DW42" s="108"/>
      <c r="DX42" s="108"/>
      <c r="DY42" s="108"/>
      <c r="DZ42" s="108"/>
      <c r="EA42" s="108"/>
      <c r="EB42" s="108"/>
      <c r="EC42" s="108"/>
      <c r="ED42" s="108"/>
      <c r="EE42" s="108"/>
      <c r="EF42" s="108"/>
      <c r="EG42" s="108"/>
      <c r="EH42" s="108"/>
      <c r="EI42" s="108"/>
      <c r="EJ42" s="108"/>
      <c r="EK42" s="108"/>
      <c r="EL42" s="108"/>
      <c r="EM42" s="108"/>
      <c r="EN42" s="108"/>
      <c r="EO42" s="108"/>
      <c r="EP42" s="108"/>
      <c r="EQ42" s="108"/>
      <c r="ER42" s="108"/>
      <c r="ES42" s="108"/>
      <c r="ET42" s="108"/>
      <c r="EU42" s="108"/>
      <c r="EV42" s="108"/>
      <c r="EW42" s="108"/>
      <c r="EX42" s="108"/>
      <c r="EY42" s="108"/>
      <c r="EZ42" s="108"/>
      <c r="FA42" s="108"/>
      <c r="FB42" s="108"/>
      <c r="FC42" s="108"/>
      <c r="FD42" s="108"/>
      <c r="FE42" s="108"/>
      <c r="FF42" s="108"/>
      <c r="FG42" s="108"/>
      <c r="FH42" s="108"/>
      <c r="FI42" s="108"/>
      <c r="FJ42" s="108"/>
      <c r="FK42" s="108"/>
      <c r="FL42" s="108"/>
      <c r="FM42" s="108"/>
      <c r="FN42" s="108"/>
      <c r="FO42" s="108"/>
      <c r="FP42" s="108"/>
      <c r="FQ42" s="108"/>
      <c r="FR42" s="108"/>
      <c r="FS42" s="108"/>
      <c r="FT42" s="108"/>
      <c r="FU42" s="108"/>
      <c r="FV42" s="108"/>
      <c r="FW42" s="108"/>
      <c r="FX42" s="108"/>
      <c r="FY42" s="108"/>
      <c r="FZ42" s="108"/>
      <c r="GA42" s="108"/>
      <c r="GB42" s="108"/>
      <c r="GC42" s="108"/>
      <c r="GD42" s="108"/>
      <c r="GE42" s="108"/>
      <c r="GF42" s="108"/>
      <c r="GG42" s="108"/>
      <c r="GH42" s="108"/>
      <c r="GI42" s="108"/>
      <c r="GJ42" s="108"/>
      <c r="GK42" s="108"/>
      <c r="GL42" s="108"/>
      <c r="GM42" s="108"/>
      <c r="GN42" s="108"/>
      <c r="GO42" s="108"/>
      <c r="GP42" s="108"/>
      <c r="GQ42" s="108"/>
      <c r="GR42" s="108"/>
      <c r="GS42" s="108"/>
      <c r="GT42" s="108"/>
      <c r="GU42" s="108"/>
      <c r="GV42" s="108"/>
      <c r="GW42" s="108"/>
      <c r="GX42" s="108"/>
      <c r="GY42" s="108"/>
      <c r="GZ42" s="108"/>
      <c r="HA42" s="108"/>
      <c r="HB42" s="108"/>
      <c r="HC42" s="108"/>
      <c r="HD42" s="108"/>
      <c r="HE42" s="108"/>
      <c r="HF42" s="108"/>
      <c r="HG42" s="108"/>
      <c r="HH42" s="108"/>
      <c r="HI42" s="108"/>
      <c r="HJ42" s="108"/>
      <c r="HK42" s="108"/>
      <c r="HL42" s="108"/>
      <c r="HM42" s="108"/>
      <c r="HN42" s="108"/>
      <c r="HO42" s="108"/>
      <c r="HP42" s="108"/>
      <c r="HQ42" s="108"/>
      <c r="HR42" s="108"/>
      <c r="HS42" s="108"/>
      <c r="HT42" s="108"/>
      <c r="HU42" s="108"/>
      <c r="HV42" s="108"/>
      <c r="HW42" s="108"/>
      <c r="HX42" s="108"/>
      <c r="HY42" s="108"/>
      <c r="HZ42" s="108"/>
      <c r="IA42" s="108"/>
      <c r="IB42" s="108"/>
      <c r="IC42" s="108"/>
      <c r="ID42" s="108"/>
      <c r="IE42" s="108"/>
      <c r="IF42" s="108"/>
      <c r="IG42" s="108"/>
      <c r="IH42" s="108"/>
      <c r="II42" s="108"/>
      <c r="IJ42" s="108"/>
      <c r="IK42" s="108"/>
      <c r="IL42" s="108"/>
      <c r="IM42" s="108"/>
      <c r="IN42" s="108"/>
      <c r="IO42" s="108"/>
      <c r="IP42" s="108"/>
      <c r="IQ42" s="108"/>
      <c r="IR42" s="108"/>
      <c r="IS42" s="108"/>
      <c r="IT42" s="108"/>
      <c r="IU42" s="108"/>
      <c r="IV42" s="108"/>
      <c r="IW42" s="108"/>
    </row>
    <row r="43" customFormat="false" ht="12.75" hidden="false" customHeight="false" outlineLevel="0" collapsed="false">
      <c r="A43" s="580" t="s">
        <v>528</v>
      </c>
      <c r="B43" s="581"/>
      <c r="C43" s="581"/>
      <c r="D43" s="586" t="n">
        <v>1998</v>
      </c>
      <c r="E43" s="581"/>
      <c r="F43" s="587" t="n">
        <v>0</v>
      </c>
      <c r="G43" s="587" t="n">
        <v>5</v>
      </c>
      <c r="H43" s="587" t="n">
        <v>13</v>
      </c>
      <c r="I43" s="587" t="n">
        <v>52.5</v>
      </c>
      <c r="J43" s="587" t="n">
        <v>195</v>
      </c>
      <c r="K43" s="587" t="n">
        <v>13</v>
      </c>
      <c r="L43" s="587" t="n">
        <v>13</v>
      </c>
      <c r="M43" s="587" t="n">
        <v>85.5</v>
      </c>
      <c r="N43" s="587" t="n">
        <v>13</v>
      </c>
      <c r="O43" s="587" t="n">
        <v>195</v>
      </c>
      <c r="P43" s="587" t="n">
        <v>13</v>
      </c>
      <c r="Q43" s="587" t="n">
        <v>52.5</v>
      </c>
      <c r="R43" s="587" t="n">
        <v>13</v>
      </c>
      <c r="S43" s="587" t="n">
        <v>13</v>
      </c>
      <c r="T43" s="587" t="n">
        <v>195</v>
      </c>
      <c r="U43" s="587" t="n">
        <v>85.5</v>
      </c>
      <c r="V43" s="587" t="n">
        <v>13</v>
      </c>
      <c r="W43" s="587" t="n">
        <v>13</v>
      </c>
      <c r="X43" s="587" t="n">
        <v>13</v>
      </c>
      <c r="Y43" s="587" t="n">
        <v>0</v>
      </c>
      <c r="Z43" s="587" t="n">
        <v>0</v>
      </c>
      <c r="AA43" s="584" t="n">
        <f aca="false">SUM(F43:Z43)</f>
        <v>996</v>
      </c>
      <c r="AC43" s="553" t="n">
        <f aca="false">AC42+1</f>
        <v>37</v>
      </c>
    </row>
    <row r="44" customFormat="false" ht="12.75" hidden="false" customHeight="false" outlineLevel="0" collapsed="false">
      <c r="A44" s="72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552"/>
      <c r="AC44" s="553" t="n">
        <f aca="false">AC43+1</f>
        <v>38</v>
      </c>
    </row>
    <row r="45" customFormat="false" ht="12.75" hidden="false" customHeight="false" outlineLevel="0" collapsed="false">
      <c r="A45" s="82" t="s">
        <v>529</v>
      </c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552"/>
      <c r="AB45" s="108"/>
      <c r="AC45" s="553" t="n">
        <f aca="false">AC44+1</f>
        <v>39</v>
      </c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108"/>
      <c r="BQ45" s="108"/>
      <c r="BR45" s="108"/>
      <c r="BS45" s="108"/>
      <c r="BT45" s="108"/>
      <c r="BU45" s="108"/>
      <c r="BV45" s="108"/>
      <c r="BW45" s="108"/>
      <c r="BX45" s="108"/>
      <c r="BY45" s="108"/>
      <c r="BZ45" s="108"/>
      <c r="CA45" s="108"/>
      <c r="CB45" s="108"/>
      <c r="CC45" s="108"/>
      <c r="CD45" s="108"/>
      <c r="CE45" s="108"/>
      <c r="CF45" s="108"/>
      <c r="CG45" s="108"/>
      <c r="CH45" s="108"/>
      <c r="CI45" s="108"/>
      <c r="CJ45" s="108"/>
      <c r="CK45" s="108"/>
      <c r="CL45" s="108"/>
      <c r="CM45" s="108"/>
      <c r="CN45" s="108"/>
      <c r="CO45" s="108"/>
      <c r="CP45" s="108"/>
      <c r="CQ45" s="108"/>
      <c r="CR45" s="108"/>
      <c r="CS45" s="108"/>
      <c r="CT45" s="108"/>
      <c r="CU45" s="108"/>
      <c r="CV45" s="108"/>
      <c r="CW45" s="108"/>
      <c r="CX45" s="108"/>
      <c r="CY45" s="108"/>
      <c r="CZ45" s="108"/>
      <c r="DA45" s="108"/>
      <c r="DB45" s="108"/>
      <c r="DC45" s="108"/>
      <c r="DD45" s="108"/>
      <c r="DE45" s="108"/>
      <c r="DF45" s="108"/>
      <c r="DG45" s="108"/>
      <c r="DH45" s="108"/>
      <c r="DI45" s="108"/>
      <c r="DJ45" s="108"/>
      <c r="DK45" s="108"/>
      <c r="DL45" s="108"/>
      <c r="DM45" s="108"/>
      <c r="DN45" s="108"/>
      <c r="DO45" s="108"/>
      <c r="DP45" s="108"/>
      <c r="DQ45" s="108"/>
      <c r="DR45" s="108"/>
      <c r="DS45" s="108"/>
      <c r="DT45" s="108"/>
      <c r="DU45" s="108"/>
      <c r="DV45" s="108"/>
      <c r="DW45" s="108"/>
      <c r="DX45" s="108"/>
      <c r="DY45" s="108"/>
      <c r="DZ45" s="108"/>
      <c r="EA45" s="108"/>
      <c r="EB45" s="108"/>
      <c r="EC45" s="108"/>
      <c r="ED45" s="108"/>
      <c r="EE45" s="108"/>
      <c r="EF45" s="108"/>
      <c r="EG45" s="108"/>
      <c r="EH45" s="108"/>
      <c r="EI45" s="108"/>
      <c r="EJ45" s="108"/>
      <c r="EK45" s="108"/>
      <c r="EL45" s="108"/>
      <c r="EM45" s="108"/>
      <c r="EN45" s="108"/>
      <c r="EO45" s="108"/>
      <c r="EP45" s="108"/>
      <c r="EQ45" s="108"/>
      <c r="ER45" s="108"/>
      <c r="ES45" s="108"/>
      <c r="ET45" s="108"/>
      <c r="EU45" s="108"/>
      <c r="EV45" s="108"/>
      <c r="EW45" s="108"/>
      <c r="EX45" s="108"/>
      <c r="EY45" s="108"/>
      <c r="EZ45" s="108"/>
      <c r="FA45" s="108"/>
      <c r="FB45" s="108"/>
      <c r="FC45" s="108"/>
      <c r="FD45" s="108"/>
      <c r="FE45" s="108"/>
      <c r="FF45" s="108"/>
      <c r="FG45" s="108"/>
      <c r="FH45" s="108"/>
      <c r="FI45" s="108"/>
      <c r="FJ45" s="108"/>
      <c r="FK45" s="108"/>
      <c r="FL45" s="108"/>
      <c r="FM45" s="108"/>
      <c r="FN45" s="108"/>
      <c r="FO45" s="108"/>
      <c r="FP45" s="108"/>
      <c r="FQ45" s="108"/>
      <c r="FR45" s="108"/>
      <c r="FS45" s="108"/>
      <c r="FT45" s="108"/>
      <c r="FU45" s="108"/>
      <c r="FV45" s="108"/>
      <c r="FW45" s="108"/>
      <c r="FX45" s="108"/>
      <c r="FY45" s="108"/>
      <c r="FZ45" s="108"/>
      <c r="GA45" s="108"/>
      <c r="GB45" s="108"/>
      <c r="GC45" s="108"/>
      <c r="GD45" s="108"/>
      <c r="GE45" s="108"/>
      <c r="GF45" s="108"/>
      <c r="GG45" s="108"/>
      <c r="GH45" s="108"/>
      <c r="GI45" s="108"/>
      <c r="GJ45" s="108"/>
      <c r="GK45" s="108"/>
      <c r="GL45" s="108"/>
      <c r="GM45" s="108"/>
      <c r="GN45" s="108"/>
      <c r="GO45" s="108"/>
      <c r="GP45" s="108"/>
      <c r="GQ45" s="108"/>
      <c r="GR45" s="108"/>
      <c r="GS45" s="108"/>
      <c r="GT45" s="108"/>
      <c r="GU45" s="108"/>
      <c r="GV45" s="108"/>
      <c r="GW45" s="108"/>
      <c r="GX45" s="108"/>
      <c r="GY45" s="108"/>
      <c r="GZ45" s="108"/>
      <c r="HA45" s="108"/>
      <c r="HB45" s="108"/>
      <c r="HC45" s="108"/>
      <c r="HD45" s="108"/>
      <c r="HE45" s="108"/>
      <c r="HF45" s="108"/>
      <c r="HG45" s="108"/>
      <c r="HH45" s="108"/>
      <c r="HI45" s="108"/>
      <c r="HJ45" s="108"/>
      <c r="HK45" s="108"/>
      <c r="HL45" s="108"/>
      <c r="HM45" s="108"/>
      <c r="HN45" s="108"/>
      <c r="HO45" s="108"/>
      <c r="HP45" s="108"/>
      <c r="HQ45" s="108"/>
      <c r="HR45" s="108"/>
      <c r="HS45" s="108"/>
      <c r="HT45" s="108"/>
      <c r="HU45" s="108"/>
      <c r="HV45" s="108"/>
      <c r="HW45" s="108"/>
      <c r="HX45" s="108"/>
      <c r="HY45" s="108"/>
      <c r="HZ45" s="108"/>
      <c r="IA45" s="108"/>
      <c r="IB45" s="108"/>
      <c r="IC45" s="108"/>
      <c r="ID45" s="108"/>
      <c r="IE45" s="108"/>
      <c r="IF45" s="108"/>
      <c r="IG45" s="108"/>
      <c r="IH45" s="108"/>
      <c r="II45" s="108"/>
      <c r="IJ45" s="108"/>
      <c r="IK45" s="108"/>
      <c r="IL45" s="108"/>
      <c r="IM45" s="108"/>
      <c r="IN45" s="108"/>
      <c r="IO45" s="108"/>
      <c r="IP45" s="108"/>
      <c r="IQ45" s="108"/>
      <c r="IR45" s="108"/>
      <c r="IS45" s="108"/>
      <c r="IT45" s="108"/>
      <c r="IU45" s="108"/>
      <c r="IV45" s="108"/>
      <c r="IW45" s="108"/>
    </row>
    <row r="46" customFormat="false" ht="12.75" hidden="false" customHeight="false" outlineLevel="0" collapsed="false">
      <c r="A46" s="37" t="s">
        <v>530</v>
      </c>
      <c r="B46" s="108"/>
      <c r="C46" s="108"/>
      <c r="D46" s="108"/>
      <c r="E46" s="108"/>
      <c r="F46" s="576" t="n">
        <v>0</v>
      </c>
      <c r="G46" s="577" t="n">
        <f aca="false">F49</f>
        <v>0</v>
      </c>
      <c r="H46" s="577" t="n">
        <f aca="false">G49</f>
        <v>0</v>
      </c>
      <c r="I46" s="577" t="n">
        <f aca="false">H49</f>
        <v>0</v>
      </c>
      <c r="J46" s="577" t="n">
        <f aca="false">I49</f>
        <v>0</v>
      </c>
      <c r="K46" s="577" t="n">
        <f aca="false">J49</f>
        <v>0</v>
      </c>
      <c r="L46" s="577" t="n">
        <f aca="false">K49</f>
        <v>0</v>
      </c>
      <c r="M46" s="577" t="n">
        <f aca="false">L49</f>
        <v>0</v>
      </c>
      <c r="N46" s="577" t="n">
        <f aca="false">M49</f>
        <v>0</v>
      </c>
      <c r="O46" s="577" t="n">
        <f aca="false">N49</f>
        <v>0</v>
      </c>
      <c r="P46" s="577" t="n">
        <f aca="false">O49</f>
        <v>47.9415472258764</v>
      </c>
      <c r="Q46" s="577" t="n">
        <f aca="false">P49</f>
        <v>140.884811356672</v>
      </c>
      <c r="R46" s="577" t="n">
        <f aca="false">Q49</f>
        <v>147.528908667842</v>
      </c>
      <c r="S46" s="577" t="n">
        <f aca="false">R49</f>
        <v>259.879304530335</v>
      </c>
      <c r="T46" s="577" t="n">
        <f aca="false">S49</f>
        <v>291.885481921873</v>
      </c>
      <c r="U46" s="577" t="n">
        <f aca="false">T49</f>
        <v>430.527090093351</v>
      </c>
      <c r="V46" s="577" t="n">
        <f aca="false">U49</f>
        <v>444.410472182737</v>
      </c>
      <c r="W46" s="577" t="n">
        <f aca="false">V49</f>
        <v>430.527090093351</v>
      </c>
      <c r="X46" s="577" t="n">
        <f aca="false">W49</f>
        <v>444.410472182737</v>
      </c>
      <c r="Y46" s="577" t="n">
        <f aca="false">X49</f>
        <v>874.937562276088</v>
      </c>
      <c r="Z46" s="577" t="n">
        <f aca="false">Y49</f>
        <v>874.937562276088</v>
      </c>
      <c r="AA46" s="558" t="n">
        <f aca="false">F46</f>
        <v>0</v>
      </c>
      <c r="AC46" s="553" t="n">
        <f aca="false">AC45+1</f>
        <v>40</v>
      </c>
    </row>
    <row r="47" customFormat="false" ht="12.75" hidden="false" customHeight="false" outlineLevel="0" collapsed="false">
      <c r="A47" s="37" t="s">
        <v>531</v>
      </c>
      <c r="B47" s="108"/>
      <c r="C47" s="108"/>
      <c r="D47" s="108"/>
      <c r="E47" s="108"/>
      <c r="F47" s="577" t="n">
        <f aca="false">-Taxes!D42</f>
        <v>0</v>
      </c>
      <c r="G47" s="577" t="n">
        <f aca="false">-Taxes!E42</f>
        <v>0</v>
      </c>
      <c r="H47" s="577" t="n">
        <f aca="false">-Taxes!F42</f>
        <v>0</v>
      </c>
      <c r="I47" s="577" t="n">
        <f aca="false">-Taxes!G42</f>
        <v>0</v>
      </c>
      <c r="J47" s="577" t="n">
        <f aca="false">-Taxes!H42</f>
        <v>0</v>
      </c>
      <c r="K47" s="577" t="n">
        <f aca="false">-Taxes!I42</f>
        <v>0</v>
      </c>
      <c r="L47" s="577" t="n">
        <f aca="false">-Taxes!J42</f>
        <v>0</v>
      </c>
      <c r="M47" s="577" t="n">
        <f aca="false">-Taxes!K42</f>
        <v>0</v>
      </c>
      <c r="N47" s="577" t="n">
        <f aca="false">-Taxes!L42</f>
        <v>47.9415472258764</v>
      </c>
      <c r="O47" s="577" t="n">
        <f aca="false">-Taxes!M42</f>
        <v>140.884811356672</v>
      </c>
      <c r="P47" s="577" t="n">
        <f aca="false">-Taxes!N42</f>
        <v>99.5873614419652</v>
      </c>
      <c r="Q47" s="577" t="n">
        <f aca="false">-Taxes!O42</f>
        <v>118.994493173663</v>
      </c>
      <c r="R47" s="577" t="n">
        <f aca="false">-Taxes!P42</f>
        <v>144.356573254031</v>
      </c>
      <c r="S47" s="577" t="n">
        <f aca="false">-Taxes!Q42</f>
        <v>170.647785563016</v>
      </c>
      <c r="T47" s="577" t="n">
        <f aca="false">-Taxes!R42</f>
        <v>152.524990260864</v>
      </c>
      <c r="U47" s="577" t="n">
        <f aca="false">-Taxes!S42</f>
        <v>0</v>
      </c>
      <c r="V47" s="577" t="n">
        <f aca="false">-Taxes!T42</f>
        <v>0</v>
      </c>
      <c r="W47" s="577" t="n">
        <f aca="false">-Taxes!U42</f>
        <v>0</v>
      </c>
      <c r="X47" s="577" t="n">
        <f aca="false">-Taxes!V42</f>
        <v>0</v>
      </c>
      <c r="Y47" s="577" t="n">
        <f aca="false">-Taxes!W42</f>
        <v>0</v>
      </c>
      <c r="Z47" s="577" t="n">
        <f aca="false">-Taxes!X42</f>
        <v>0</v>
      </c>
      <c r="AA47" s="558" t="n">
        <f aca="false">SUM(F47:Z47)</f>
        <v>874.937562276088</v>
      </c>
      <c r="AC47" s="553" t="n">
        <f aca="false">AC46+1</f>
        <v>41</v>
      </c>
    </row>
    <row r="48" customFormat="false" ht="12.75" hidden="false" customHeight="false" outlineLevel="0" collapsed="false">
      <c r="A48" s="37" t="s">
        <v>532</v>
      </c>
      <c r="B48" s="108"/>
      <c r="C48" s="108"/>
      <c r="D48" s="108"/>
      <c r="E48" s="108"/>
      <c r="F48" s="306" t="n">
        <f aca="false">-F55</f>
        <v>-0</v>
      </c>
      <c r="G48" s="306" t="n">
        <f aca="false">-G55</f>
        <v>-0</v>
      </c>
      <c r="H48" s="306" t="n">
        <f aca="false">-H55</f>
        <v>-0</v>
      </c>
      <c r="I48" s="306" t="n">
        <f aca="false">-I55</f>
        <v>-0</v>
      </c>
      <c r="J48" s="306" t="n">
        <f aca="false">-J55</f>
        <v>-0</v>
      </c>
      <c r="K48" s="306" t="n">
        <f aca="false">-K55</f>
        <v>-0</v>
      </c>
      <c r="L48" s="306" t="n">
        <f aca="false">-L55</f>
        <v>-0</v>
      </c>
      <c r="M48" s="306" t="n">
        <f aca="false">-M55</f>
        <v>-0</v>
      </c>
      <c r="N48" s="306" t="n">
        <f aca="false">-N55</f>
        <v>-47.9415472258764</v>
      </c>
      <c r="O48" s="306" t="n">
        <f aca="false">-O55</f>
        <v>-92.9432641307961</v>
      </c>
      <c r="P48" s="306" t="n">
        <f aca="false">-P55</f>
        <v>-6.64409731116911</v>
      </c>
      <c r="Q48" s="306" t="n">
        <f aca="false">-Q55</f>
        <v>-112.350395862494</v>
      </c>
      <c r="R48" s="306" t="n">
        <f aca="false">-R55</f>
        <v>-32.0061773915372</v>
      </c>
      <c r="S48" s="306" t="n">
        <f aca="false">-S55</f>
        <v>-138.641608171478</v>
      </c>
      <c r="T48" s="306" t="n">
        <f aca="false">-T55</f>
        <v>-13.8833820893858</v>
      </c>
      <c r="U48" s="306" t="n">
        <f aca="false">-U55</f>
        <v>13.8833820893858</v>
      </c>
      <c r="V48" s="306" t="n">
        <f aca="false">-V55</f>
        <v>-13.8833820893858</v>
      </c>
      <c r="W48" s="306" t="n">
        <f aca="false">-W55</f>
        <v>13.8833820893858</v>
      </c>
      <c r="X48" s="306" t="n">
        <f aca="false">-X55</f>
        <v>430.527090093351</v>
      </c>
      <c r="Y48" s="306" t="n">
        <f aca="false">-Y55</f>
        <v>-0</v>
      </c>
      <c r="Z48" s="306" t="n">
        <f aca="false">-Z55</f>
        <v>-0</v>
      </c>
      <c r="AA48" s="560" t="n">
        <f aca="false">SUM(F48:Z48)</f>
        <v>0</v>
      </c>
      <c r="AC48" s="553" t="n">
        <f aca="false">AC47+1</f>
        <v>42</v>
      </c>
    </row>
    <row r="49" customFormat="false" ht="12.75" hidden="false" customHeight="false" outlineLevel="0" collapsed="false">
      <c r="A49" s="37" t="s">
        <v>533</v>
      </c>
      <c r="B49" s="108"/>
      <c r="C49" s="108"/>
      <c r="D49" s="108"/>
      <c r="E49" s="108"/>
      <c r="F49" s="577" t="n">
        <f aca="false">SUM(F46:F48)</f>
        <v>0</v>
      </c>
      <c r="G49" s="577" t="n">
        <f aca="false">SUM(G46:G48)</f>
        <v>0</v>
      </c>
      <c r="H49" s="577" t="n">
        <f aca="false">SUM(H46:H48)</f>
        <v>0</v>
      </c>
      <c r="I49" s="577" t="n">
        <f aca="false">SUM(I46:I48)</f>
        <v>0</v>
      </c>
      <c r="J49" s="577" t="n">
        <f aca="false">SUM(J46:J48)</f>
        <v>0</v>
      </c>
      <c r="K49" s="577" t="n">
        <f aca="false">SUM(K46:K48)</f>
        <v>0</v>
      </c>
      <c r="L49" s="577" t="n">
        <f aca="false">SUM(L46:L48)</f>
        <v>0</v>
      </c>
      <c r="M49" s="577" t="n">
        <f aca="false">SUM(M46:M48)</f>
        <v>0</v>
      </c>
      <c r="N49" s="577" t="n">
        <f aca="false">SUM(N46:N48)</f>
        <v>0</v>
      </c>
      <c r="O49" s="577" t="n">
        <f aca="false">SUM(O46:O48)</f>
        <v>47.9415472258764</v>
      </c>
      <c r="P49" s="577" t="n">
        <f aca="false">SUM(P46:P48)</f>
        <v>140.884811356672</v>
      </c>
      <c r="Q49" s="577" t="n">
        <f aca="false">SUM(Q46:Q48)</f>
        <v>147.528908667842</v>
      </c>
      <c r="R49" s="577" t="n">
        <f aca="false">SUM(R46:R48)</f>
        <v>259.879304530335</v>
      </c>
      <c r="S49" s="577" t="n">
        <f aca="false">SUM(S46:S48)</f>
        <v>291.885481921873</v>
      </c>
      <c r="T49" s="577" t="n">
        <f aca="false">SUM(T46:T48)</f>
        <v>430.527090093351</v>
      </c>
      <c r="U49" s="577" t="n">
        <f aca="false">SUM(U46:U48)</f>
        <v>444.410472182737</v>
      </c>
      <c r="V49" s="577" t="n">
        <f aca="false">SUM(V46:V48)</f>
        <v>430.527090093351</v>
      </c>
      <c r="W49" s="577" t="n">
        <f aca="false">SUM(W46:W48)</f>
        <v>444.410472182737</v>
      </c>
      <c r="X49" s="577" t="n">
        <f aca="false">SUM(X46:X48)</f>
        <v>874.937562276088</v>
      </c>
      <c r="Y49" s="577" t="n">
        <f aca="false">SUM(Y46:Y48)</f>
        <v>874.937562276088</v>
      </c>
      <c r="Z49" s="577" t="n">
        <f aca="false">SUM(Z46:Z48)</f>
        <v>874.937562276088</v>
      </c>
      <c r="AA49" s="588" t="n">
        <f aca="false">SUM(AA46:AA48)</f>
        <v>874.937562276088</v>
      </c>
      <c r="AB49" s="108"/>
      <c r="AC49" s="553" t="n">
        <f aca="false">AC48+1</f>
        <v>43</v>
      </c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  <c r="CD49" s="108"/>
      <c r="CE49" s="108"/>
      <c r="CF49" s="108"/>
      <c r="CG49" s="108"/>
      <c r="CH49" s="108"/>
      <c r="CI49" s="108"/>
      <c r="CJ49" s="108"/>
      <c r="CK49" s="108"/>
      <c r="CL49" s="108"/>
      <c r="CM49" s="108"/>
      <c r="CN49" s="108"/>
      <c r="CO49" s="108"/>
      <c r="CP49" s="108"/>
      <c r="CQ49" s="108"/>
      <c r="CR49" s="108"/>
      <c r="CS49" s="108"/>
      <c r="CT49" s="108"/>
      <c r="CU49" s="108"/>
      <c r="CV49" s="108"/>
      <c r="CW49" s="108"/>
      <c r="CX49" s="108"/>
      <c r="CY49" s="108"/>
      <c r="CZ49" s="108"/>
      <c r="DA49" s="108"/>
      <c r="DB49" s="108"/>
      <c r="DC49" s="108"/>
      <c r="DD49" s="108"/>
      <c r="DE49" s="108"/>
      <c r="DF49" s="108"/>
      <c r="DG49" s="108"/>
      <c r="DH49" s="108"/>
      <c r="DI49" s="108"/>
      <c r="DJ49" s="108"/>
      <c r="DK49" s="108"/>
      <c r="DL49" s="108"/>
      <c r="DM49" s="108"/>
      <c r="DN49" s="108"/>
      <c r="DO49" s="108"/>
      <c r="DP49" s="108"/>
      <c r="DQ49" s="108"/>
      <c r="DR49" s="108"/>
      <c r="DS49" s="108"/>
      <c r="DT49" s="108"/>
      <c r="DU49" s="108"/>
      <c r="DV49" s="108"/>
      <c r="DW49" s="108"/>
      <c r="DX49" s="108"/>
      <c r="DY49" s="108"/>
      <c r="DZ49" s="108"/>
      <c r="EA49" s="108"/>
      <c r="EB49" s="108"/>
      <c r="EC49" s="108"/>
      <c r="ED49" s="108"/>
      <c r="EE49" s="108"/>
      <c r="EF49" s="108"/>
      <c r="EG49" s="108"/>
      <c r="EH49" s="108"/>
      <c r="EI49" s="108"/>
      <c r="EJ49" s="108"/>
      <c r="EK49" s="108"/>
      <c r="EL49" s="108"/>
      <c r="EM49" s="108"/>
      <c r="EN49" s="108"/>
      <c r="EO49" s="108"/>
      <c r="EP49" s="108"/>
      <c r="EQ49" s="108"/>
      <c r="ER49" s="108"/>
      <c r="ES49" s="108"/>
      <c r="ET49" s="108"/>
      <c r="EU49" s="108"/>
      <c r="EV49" s="108"/>
      <c r="EW49" s="108"/>
      <c r="EX49" s="108"/>
      <c r="EY49" s="108"/>
      <c r="EZ49" s="108"/>
      <c r="FA49" s="108"/>
      <c r="FB49" s="108"/>
      <c r="FC49" s="108"/>
      <c r="FD49" s="108"/>
      <c r="FE49" s="108"/>
      <c r="FF49" s="108"/>
      <c r="FG49" s="108"/>
      <c r="FH49" s="108"/>
      <c r="FI49" s="108"/>
      <c r="FJ49" s="108"/>
      <c r="FK49" s="108"/>
      <c r="FL49" s="108"/>
      <c r="FM49" s="108"/>
      <c r="FN49" s="108"/>
      <c r="FO49" s="108"/>
      <c r="FP49" s="108"/>
      <c r="FQ49" s="108"/>
      <c r="FR49" s="108"/>
      <c r="FS49" s="108"/>
      <c r="FT49" s="108"/>
      <c r="FU49" s="108"/>
      <c r="FV49" s="108"/>
      <c r="FW49" s="108"/>
      <c r="FX49" s="108"/>
      <c r="FY49" s="108"/>
      <c r="FZ49" s="108"/>
      <c r="GA49" s="108"/>
      <c r="GB49" s="108"/>
      <c r="GC49" s="108"/>
      <c r="GD49" s="108"/>
      <c r="GE49" s="108"/>
      <c r="GF49" s="108"/>
      <c r="GG49" s="108"/>
      <c r="GH49" s="108"/>
      <c r="GI49" s="108"/>
      <c r="GJ49" s="108"/>
      <c r="GK49" s="108"/>
      <c r="GL49" s="108"/>
      <c r="GM49" s="108"/>
      <c r="GN49" s="108"/>
      <c r="GO49" s="108"/>
      <c r="GP49" s="108"/>
      <c r="GQ49" s="108"/>
      <c r="GR49" s="108"/>
      <c r="GS49" s="108"/>
      <c r="GT49" s="108"/>
      <c r="GU49" s="108"/>
      <c r="GV49" s="108"/>
      <c r="GW49" s="108"/>
      <c r="GX49" s="108"/>
      <c r="GY49" s="108"/>
      <c r="GZ49" s="108"/>
      <c r="HA49" s="108"/>
      <c r="HB49" s="108"/>
      <c r="HC49" s="108"/>
      <c r="HD49" s="108"/>
      <c r="HE49" s="108"/>
      <c r="HF49" s="108"/>
      <c r="HG49" s="108"/>
      <c r="HH49" s="108"/>
      <c r="HI49" s="108"/>
      <c r="HJ49" s="108"/>
      <c r="HK49" s="108"/>
      <c r="HL49" s="108"/>
      <c r="HM49" s="108"/>
      <c r="HN49" s="108"/>
      <c r="HO49" s="108"/>
      <c r="HP49" s="108"/>
      <c r="HQ49" s="108"/>
      <c r="HR49" s="108"/>
      <c r="HS49" s="108"/>
      <c r="HT49" s="108"/>
      <c r="HU49" s="108"/>
      <c r="HV49" s="108"/>
      <c r="HW49" s="108"/>
      <c r="HX49" s="108"/>
      <c r="HY49" s="108"/>
      <c r="HZ49" s="108"/>
      <c r="IA49" s="108"/>
      <c r="IB49" s="108"/>
      <c r="IC49" s="108"/>
      <c r="ID49" s="108"/>
      <c r="IE49" s="108"/>
      <c r="IF49" s="108"/>
      <c r="IG49" s="108"/>
      <c r="IH49" s="108"/>
      <c r="II49" s="108"/>
      <c r="IJ49" s="108"/>
      <c r="IK49" s="108"/>
      <c r="IL49" s="108"/>
      <c r="IM49" s="108"/>
      <c r="IN49" s="108"/>
      <c r="IO49" s="108"/>
      <c r="IP49" s="108"/>
      <c r="IQ49" s="108"/>
      <c r="IR49" s="108"/>
      <c r="IS49" s="108"/>
      <c r="IT49" s="108"/>
      <c r="IU49" s="108"/>
      <c r="IV49" s="108"/>
      <c r="IW49" s="108"/>
    </row>
    <row r="50" customFormat="false" ht="12.75" hidden="false" customHeight="false" outlineLevel="0" collapsed="false">
      <c r="A50" s="72"/>
      <c r="B50" s="108"/>
      <c r="C50" s="108"/>
      <c r="D50" s="108"/>
      <c r="E50" s="108"/>
      <c r="F50" s="589"/>
      <c r="G50" s="589"/>
      <c r="H50" s="589"/>
      <c r="I50" s="589"/>
      <c r="J50" s="589"/>
      <c r="K50" s="589"/>
      <c r="L50" s="589"/>
      <c r="M50" s="589"/>
      <c r="N50" s="589"/>
      <c r="O50" s="589"/>
      <c r="P50" s="589"/>
      <c r="Q50" s="589"/>
      <c r="R50" s="589"/>
      <c r="S50" s="589"/>
      <c r="T50" s="589"/>
      <c r="U50" s="589"/>
      <c r="V50" s="589"/>
      <c r="W50" s="589"/>
      <c r="X50" s="589"/>
      <c r="Y50" s="589"/>
      <c r="Z50" s="589"/>
      <c r="AA50" s="552"/>
      <c r="AC50" s="553" t="n">
        <f aca="false">AC49+1</f>
        <v>44</v>
      </c>
    </row>
    <row r="51" customFormat="false" ht="12.75" hidden="false" customHeight="false" outlineLevel="0" collapsed="false">
      <c r="A51" s="37" t="s">
        <v>534</v>
      </c>
      <c r="B51" s="108"/>
      <c r="C51" s="108"/>
      <c r="D51" s="108"/>
      <c r="E51" s="108"/>
      <c r="F51" s="577" t="n">
        <f aca="false">CF!E57</f>
        <v>0</v>
      </c>
      <c r="G51" s="577" t="n">
        <f aca="false">CF!F57</f>
        <v>0</v>
      </c>
      <c r="H51" s="577" t="n">
        <f aca="false">CF!G57</f>
        <v>-4849.95618144266</v>
      </c>
      <c r="I51" s="577" t="n">
        <f aca="false">CF!H57</f>
        <v>-9312.2837301061</v>
      </c>
      <c r="J51" s="577" t="n">
        <f aca="false">CF!I57</f>
        <v>-9485.89883460989</v>
      </c>
      <c r="K51" s="577" t="n">
        <f aca="false">CF!J57</f>
        <v>-4607.39519923682</v>
      </c>
      <c r="L51" s="577" t="n">
        <f aca="false">CF!K57</f>
        <v>-3349.54374666664</v>
      </c>
      <c r="M51" s="577" t="n">
        <f aca="false">CF!L57</f>
        <v>-2354.1885095183</v>
      </c>
      <c r="N51" s="577" t="n">
        <f aca="false">CF!M57</f>
        <v>-1241.43805390493</v>
      </c>
      <c r="O51" s="577" t="n">
        <f aca="false">CF!N57</f>
        <v>144.698539188928</v>
      </c>
      <c r="P51" s="577" t="n">
        <f aca="false">CF!O57</f>
        <v>1137.01825639451</v>
      </c>
      <c r="Q51" s="577" t="n">
        <f aca="false">CF!P57</f>
        <v>1926.63766850136</v>
      </c>
      <c r="R51" s="577" t="n">
        <f aca="false">CF!Q57</f>
        <v>2904.68118826978</v>
      </c>
      <c r="S51" s="577" t="n">
        <f aca="false">CF!R57</f>
        <v>3953.09551166915</v>
      </c>
      <c r="T51" s="577" t="n">
        <f aca="false">CF!S57</f>
        <v>3841.34348146611</v>
      </c>
      <c r="U51" s="577" t="n">
        <f aca="false">CF!T57</f>
        <v>5438.5908943417</v>
      </c>
      <c r="V51" s="577" t="n">
        <f aca="false">CF!U57</f>
        <v>6237.95256347404</v>
      </c>
      <c r="W51" s="577" t="n">
        <f aca="false">CF!V57</f>
        <v>6720.16066393748</v>
      </c>
      <c r="X51" s="577" t="n">
        <f aca="false">CF!W57</f>
        <v>7046.88518982016</v>
      </c>
      <c r="Y51" s="577" t="n">
        <f aca="false">CF!X57</f>
        <v>7581.36886552416</v>
      </c>
      <c r="Z51" s="577" t="n">
        <f aca="false">CF!Y57</f>
        <v>2235.32024618146</v>
      </c>
      <c r="AA51" s="558" t="n">
        <f aca="false">SUM(F51:Z51)</f>
        <v>13967.0488132835</v>
      </c>
      <c r="AC51" s="553" t="n">
        <f aca="false">AC50+1</f>
        <v>45</v>
      </c>
    </row>
    <row r="52" customFormat="false" ht="12.75" hidden="false" customHeight="false" outlineLevel="0" collapsed="false">
      <c r="A52" s="37" t="s">
        <v>535</v>
      </c>
      <c r="B52" s="108"/>
      <c r="C52" s="108"/>
      <c r="D52" s="108"/>
      <c r="E52" s="108"/>
      <c r="F52" s="577" t="n">
        <f aca="false">SUM($F51:F51)</f>
        <v>0</v>
      </c>
      <c r="G52" s="577" t="n">
        <f aca="false">SUM($F51:G51)</f>
        <v>0</v>
      </c>
      <c r="H52" s="577" t="n">
        <f aca="false">SUM($F51:H51)</f>
        <v>-4849.95618144266</v>
      </c>
      <c r="I52" s="577" t="n">
        <f aca="false">SUM($F51:I51)</f>
        <v>-14162.2399115488</v>
      </c>
      <c r="J52" s="577" t="n">
        <f aca="false">SUM($F51:J51)</f>
        <v>-23648.1387461587</v>
      </c>
      <c r="K52" s="577" t="n">
        <f aca="false">SUM($F51:K51)</f>
        <v>-28255.5339453955</v>
      </c>
      <c r="L52" s="577" t="n">
        <f aca="false">SUM($F51:L51)</f>
        <v>-31605.0776920621</v>
      </c>
      <c r="M52" s="577" t="n">
        <f aca="false">SUM($F51:M51)</f>
        <v>-33959.2662015804</v>
      </c>
      <c r="N52" s="577" t="n">
        <f aca="false">SUM($F51:N51)</f>
        <v>-35200.7042554854</v>
      </c>
      <c r="O52" s="577" t="n">
        <f aca="false">SUM($F51:O51)</f>
        <v>-35056.0057162964</v>
      </c>
      <c r="P52" s="577" t="n">
        <f aca="false">SUM($F51:P51)</f>
        <v>-33918.9874599019</v>
      </c>
      <c r="Q52" s="577" t="n">
        <f aca="false">SUM($F51:Q51)</f>
        <v>-31992.3497914005</v>
      </c>
      <c r="R52" s="577" t="n">
        <f aca="false">SUM($F51:R51)</f>
        <v>-29087.6686031308</v>
      </c>
      <c r="S52" s="577" t="n">
        <f aca="false">SUM($F51:S51)</f>
        <v>-25134.5730914616</v>
      </c>
      <c r="T52" s="577" t="n">
        <f aca="false">SUM($F51:T51)</f>
        <v>-21293.2296099955</v>
      </c>
      <c r="U52" s="577" t="n">
        <f aca="false">SUM($F51:U51)</f>
        <v>-15854.6387156538</v>
      </c>
      <c r="V52" s="577" t="n">
        <f aca="false">SUM($F51:V51)</f>
        <v>-9616.68615217977</v>
      </c>
      <c r="W52" s="577" t="n">
        <f aca="false">SUM($F51:W51)</f>
        <v>-2896.5254882423</v>
      </c>
      <c r="X52" s="577" t="n">
        <f aca="false">SUM($F51:X51)</f>
        <v>4150.35970157787</v>
      </c>
      <c r="Y52" s="577" t="n">
        <f aca="false">SUM($F51:Y51)</f>
        <v>11731.728567102</v>
      </c>
      <c r="Z52" s="577" t="n">
        <f aca="false">SUM($F51:Z51)</f>
        <v>13967.0488132835</v>
      </c>
      <c r="AA52" s="558"/>
      <c r="AC52" s="553" t="n">
        <f aca="false">AC51+1</f>
        <v>46</v>
      </c>
    </row>
    <row r="53" customFormat="false" ht="12.75" hidden="false" customHeight="false" outlineLevel="0" collapsed="false">
      <c r="A53" s="72"/>
      <c r="B53" s="108"/>
      <c r="C53" s="108"/>
      <c r="D53" s="108"/>
      <c r="E53" s="108"/>
      <c r="F53" s="589"/>
      <c r="G53" s="589"/>
      <c r="H53" s="589"/>
      <c r="I53" s="589"/>
      <c r="J53" s="589"/>
      <c r="K53" s="589"/>
      <c r="L53" s="589"/>
      <c r="M53" s="589"/>
      <c r="N53" s="589"/>
      <c r="O53" s="589"/>
      <c r="P53" s="589"/>
      <c r="Q53" s="589"/>
      <c r="R53" s="589"/>
      <c r="S53" s="589"/>
      <c r="T53" s="589"/>
      <c r="U53" s="589"/>
      <c r="V53" s="589"/>
      <c r="W53" s="589"/>
      <c r="X53" s="589"/>
      <c r="Y53" s="589"/>
      <c r="Z53" s="589"/>
      <c r="AA53" s="552"/>
      <c r="AC53" s="553" t="n">
        <f aca="false">AC52+1</f>
        <v>47</v>
      </c>
    </row>
    <row r="54" customFormat="false" ht="12.75" hidden="false" customHeight="false" outlineLevel="0" collapsed="false">
      <c r="A54" s="37" t="s">
        <v>536</v>
      </c>
      <c r="B54" s="108"/>
      <c r="C54" s="108"/>
      <c r="D54" s="108"/>
      <c r="E54" s="108"/>
      <c r="F54" s="61" t="n">
        <f aca="false">SUM($F47:F47)+SUM($E48:E48)</f>
        <v>0</v>
      </c>
      <c r="G54" s="61" t="n">
        <f aca="false">SUM($F47:G47)+SUM($E48:F48)</f>
        <v>0</v>
      </c>
      <c r="H54" s="61" t="n">
        <f aca="false">SUM($F47:H47)+SUM($E48:G48)</f>
        <v>0</v>
      </c>
      <c r="I54" s="61" t="n">
        <f aca="false">SUM($F47:I47)+SUM($E48:H48)</f>
        <v>0</v>
      </c>
      <c r="J54" s="61" t="n">
        <f aca="false">SUM($F47:J47)+SUM($E48:I48)</f>
        <v>0</v>
      </c>
      <c r="K54" s="61" t="n">
        <f aca="false">SUM($F47:K47)+SUM($E48:J48)</f>
        <v>0</v>
      </c>
      <c r="L54" s="61" t="n">
        <f aca="false">SUM($F47:L47)+SUM($E48:K48)</f>
        <v>0</v>
      </c>
      <c r="M54" s="61" t="n">
        <f aca="false">SUM($F47:M47)+SUM($E48:L48)</f>
        <v>0</v>
      </c>
      <c r="N54" s="61" t="n">
        <f aca="false">SUM($F47:N47)+SUM($E48:M48)</f>
        <v>47.9415472258764</v>
      </c>
      <c r="O54" s="61" t="n">
        <f aca="false">SUM($F47:O47)+SUM($E48:N48)</f>
        <v>140.884811356672</v>
      </c>
      <c r="P54" s="61" t="n">
        <f aca="false">SUM($F47:P47)+SUM($E48:O48)</f>
        <v>147.528908667842</v>
      </c>
      <c r="Q54" s="61" t="n">
        <f aca="false">SUM($F47:Q47)+SUM($E48:P48)</f>
        <v>259.879304530336</v>
      </c>
      <c r="R54" s="61" t="n">
        <f aca="false">SUM($F47:R47)+SUM($E48:Q48)</f>
        <v>291.885481921873</v>
      </c>
      <c r="S54" s="61" t="n">
        <f aca="false">SUM($F47:S47)+SUM($E48:R48)</f>
        <v>430.527090093351</v>
      </c>
      <c r="T54" s="61" t="n">
        <f aca="false">SUM($F47:T47)+SUM($E48:S48)</f>
        <v>444.410472182737</v>
      </c>
      <c r="U54" s="61" t="n">
        <f aca="false">SUM($F47:U47)+SUM($E48:T48)</f>
        <v>430.527090093351</v>
      </c>
      <c r="V54" s="61" t="n">
        <f aca="false">SUM($F47:V47)+SUM($E48:U48)</f>
        <v>444.410472182737</v>
      </c>
      <c r="W54" s="61" t="n">
        <f aca="false">SUM($F47:W47)+SUM($E48:V48)</f>
        <v>430.527090093351</v>
      </c>
      <c r="X54" s="61" t="n">
        <f aca="false">SUM($F47:X47)+SUM($E48:W48)</f>
        <v>444.410472182737</v>
      </c>
      <c r="Y54" s="61" t="n">
        <f aca="false">SUM($F47:Y47)+SUM($E48:X48)</f>
        <v>874.937562276088</v>
      </c>
      <c r="Z54" s="61" t="n">
        <f aca="false">SUM($F47:Z47)+SUM($E48:Y48)</f>
        <v>874.937562276088</v>
      </c>
      <c r="AA54" s="558"/>
      <c r="AC54" s="553" t="n">
        <f aca="false">AC53+1</f>
        <v>48</v>
      </c>
    </row>
    <row r="55" customFormat="false" ht="12.75" hidden="false" customHeight="false" outlineLevel="0" collapsed="false">
      <c r="A55" s="590" t="s">
        <v>537</v>
      </c>
      <c r="B55" s="581"/>
      <c r="C55" s="581"/>
      <c r="D55" s="581"/>
      <c r="E55" s="581"/>
      <c r="F55" s="532" t="n">
        <f aca="false">IF(F52&lt;0,MIN(-F52,F54),0)-SUM($E55:E55)</f>
        <v>0</v>
      </c>
      <c r="G55" s="532" t="n">
        <f aca="false">IF(G52&lt;0,MIN(-G52,G54),0)-SUM($E55:F55)</f>
        <v>0</v>
      </c>
      <c r="H55" s="532" t="n">
        <f aca="false">IF(H52&lt;0,MIN(-H52,H54),0)-SUM($E55:G55)</f>
        <v>0</v>
      </c>
      <c r="I55" s="532" t="n">
        <f aca="false">IF(I52&lt;0,MIN(-I52,I54),0)-SUM($E55:H55)</f>
        <v>0</v>
      </c>
      <c r="J55" s="532" t="n">
        <f aca="false">IF(J52&lt;0,MIN(-J52,J54),0)-SUM($E55:I55)</f>
        <v>0</v>
      </c>
      <c r="K55" s="532" t="n">
        <f aca="false">IF(K52&lt;0,MIN(-K52,K54),0)-SUM($E55:J55)</f>
        <v>0</v>
      </c>
      <c r="L55" s="532" t="n">
        <f aca="false">IF(L52&lt;0,MIN(-L52,L54),0)-SUM($E55:K55)</f>
        <v>0</v>
      </c>
      <c r="M55" s="532" t="n">
        <f aca="false">IF(M52&lt;0,MIN(-M52,M54),0)-SUM($E55:L55)</f>
        <v>0</v>
      </c>
      <c r="N55" s="532" t="n">
        <f aca="false">IF(N52&lt;0,MIN(-N52,N54),0)-SUM($E55:M55)</f>
        <v>47.9415472258764</v>
      </c>
      <c r="O55" s="532" t="n">
        <f aca="false">IF(O52&lt;0,MIN(-O52,O54),0)-SUM($E55:N55)</f>
        <v>92.9432641307961</v>
      </c>
      <c r="P55" s="532" t="n">
        <f aca="false">IF(P52&lt;0,MIN(-P52,P54),0)-SUM($E55:O55)</f>
        <v>6.64409731116911</v>
      </c>
      <c r="Q55" s="532" t="n">
        <f aca="false">IF(Q52&lt;0,MIN(-Q52,Q54),0)-SUM($E55:P55)</f>
        <v>112.350395862494</v>
      </c>
      <c r="R55" s="532" t="n">
        <f aca="false">IF(R52&lt;0,MIN(-R52,R54),0)-SUM($E55:Q55)</f>
        <v>32.0061773915372</v>
      </c>
      <c r="S55" s="532" t="n">
        <f aca="false">IF(S52&lt;0,MIN(-S52,S54),0)-SUM($E55:R55)</f>
        <v>138.641608171478</v>
      </c>
      <c r="T55" s="532" t="n">
        <f aca="false">IF(T52&lt;0,MIN(-T52,T54),0)-SUM($E55:S55)</f>
        <v>13.8833820893858</v>
      </c>
      <c r="U55" s="532" t="n">
        <f aca="false">IF(U52&lt;0,MIN(-U52,U54),0)-SUM($E55:T55)</f>
        <v>-13.8833820893858</v>
      </c>
      <c r="V55" s="532" t="n">
        <f aca="false">IF(V52&lt;0,MIN(-V52,V54),0)-SUM($E55:U55)</f>
        <v>13.8833820893858</v>
      </c>
      <c r="W55" s="532" t="n">
        <f aca="false">IF(W52&lt;0,MIN(-W52,W54),0)-SUM($E55:V55)</f>
        <v>-13.8833820893858</v>
      </c>
      <c r="X55" s="532" t="n">
        <f aca="false">IF(X52&lt;0,MIN(-X52,X54),0)-SUM($E55:W55)</f>
        <v>-430.527090093351</v>
      </c>
      <c r="Y55" s="532" t="n">
        <f aca="false">IF(Y52&lt;0,MIN(-Y52,Y54),0)-SUM($E55:X55)</f>
        <v>0</v>
      </c>
      <c r="Z55" s="532" t="n">
        <f aca="false">IF(Z52&lt;0,MIN(-Z52,Z54),0)-SUM($E55:Y55)</f>
        <v>0</v>
      </c>
      <c r="AA55" s="584"/>
      <c r="AC55" s="553" t="n">
        <f aca="false">AC54+1</f>
        <v>49</v>
      </c>
    </row>
    <row r="56" customFormat="false" ht="12.75" hidden="false" customHeight="false" outlineLevel="0" collapsed="false">
      <c r="A56" s="72"/>
      <c r="B56" s="108"/>
      <c r="C56" s="108"/>
      <c r="D56" s="108"/>
      <c r="E56" s="108"/>
      <c r="F56" s="589"/>
      <c r="G56" s="589"/>
      <c r="H56" s="589"/>
      <c r="I56" s="589"/>
      <c r="J56" s="589"/>
      <c r="K56" s="589"/>
      <c r="L56" s="589"/>
      <c r="M56" s="589"/>
      <c r="N56" s="589"/>
      <c r="O56" s="589"/>
      <c r="P56" s="589"/>
      <c r="Q56" s="589"/>
      <c r="R56" s="589"/>
      <c r="S56" s="589"/>
      <c r="T56" s="589"/>
      <c r="U56" s="589"/>
      <c r="V56" s="589"/>
      <c r="W56" s="589"/>
      <c r="X56" s="589"/>
      <c r="Y56" s="589"/>
      <c r="Z56" s="589"/>
      <c r="AA56" s="552"/>
      <c r="AC56" s="553" t="n">
        <f aca="false">AC55+1</f>
        <v>50</v>
      </c>
    </row>
    <row r="57" customFormat="false" ht="12.75" hidden="false" customHeight="false" outlineLevel="0" collapsed="false">
      <c r="A57" s="82" t="s">
        <v>538</v>
      </c>
      <c r="B57" s="108"/>
      <c r="C57" s="108"/>
      <c r="D57" s="108"/>
      <c r="E57" s="108"/>
      <c r="F57" s="589"/>
      <c r="G57" s="589"/>
      <c r="H57" s="589"/>
      <c r="I57" s="589"/>
      <c r="J57" s="589"/>
      <c r="K57" s="589"/>
      <c r="L57" s="589"/>
      <c r="M57" s="589"/>
      <c r="N57" s="589"/>
      <c r="O57" s="589"/>
      <c r="P57" s="589"/>
      <c r="Q57" s="589"/>
      <c r="R57" s="589"/>
      <c r="S57" s="589"/>
      <c r="T57" s="589"/>
      <c r="U57" s="589"/>
      <c r="V57" s="589"/>
      <c r="W57" s="589"/>
      <c r="X57" s="589"/>
      <c r="Y57" s="589"/>
      <c r="Z57" s="589"/>
      <c r="AA57" s="552"/>
      <c r="AB57" s="108"/>
      <c r="AC57" s="553" t="n">
        <f aca="false">AC56+1</f>
        <v>51</v>
      </c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8"/>
      <c r="CH57" s="108"/>
      <c r="CI57" s="108"/>
      <c r="CJ57" s="108"/>
      <c r="CK57" s="108"/>
      <c r="CL57" s="108"/>
      <c r="CM57" s="108"/>
      <c r="CN57" s="108"/>
      <c r="CO57" s="108"/>
      <c r="CP57" s="108"/>
      <c r="CQ57" s="108"/>
      <c r="CR57" s="108"/>
      <c r="CS57" s="108"/>
      <c r="CT57" s="108"/>
      <c r="CU57" s="108"/>
      <c r="CV57" s="108"/>
      <c r="CW57" s="108"/>
      <c r="CX57" s="108"/>
      <c r="CY57" s="108"/>
      <c r="CZ57" s="108"/>
      <c r="DA57" s="108"/>
      <c r="DB57" s="108"/>
      <c r="DC57" s="108"/>
      <c r="DD57" s="108"/>
      <c r="DE57" s="108"/>
      <c r="DF57" s="108"/>
      <c r="DG57" s="108"/>
      <c r="DH57" s="108"/>
      <c r="DI57" s="108"/>
      <c r="DJ57" s="108"/>
      <c r="DK57" s="108"/>
      <c r="DL57" s="108"/>
      <c r="DM57" s="108"/>
      <c r="DN57" s="108"/>
      <c r="DO57" s="108"/>
      <c r="DP57" s="108"/>
      <c r="DQ57" s="108"/>
      <c r="DR57" s="108"/>
      <c r="DS57" s="108"/>
      <c r="DT57" s="108"/>
      <c r="DU57" s="108"/>
      <c r="DV57" s="108"/>
      <c r="DW57" s="108"/>
      <c r="DX57" s="108"/>
      <c r="DY57" s="108"/>
      <c r="DZ57" s="108"/>
      <c r="EA57" s="108"/>
      <c r="EB57" s="108"/>
      <c r="EC57" s="108"/>
      <c r="ED57" s="108"/>
      <c r="EE57" s="108"/>
      <c r="EF57" s="108"/>
      <c r="EG57" s="108"/>
      <c r="EH57" s="108"/>
      <c r="EI57" s="108"/>
      <c r="EJ57" s="108"/>
      <c r="EK57" s="108"/>
      <c r="EL57" s="108"/>
      <c r="EM57" s="108"/>
      <c r="EN57" s="108"/>
      <c r="EO57" s="108"/>
      <c r="EP57" s="108"/>
      <c r="EQ57" s="108"/>
      <c r="ER57" s="108"/>
      <c r="ES57" s="108"/>
      <c r="ET57" s="108"/>
      <c r="EU57" s="108"/>
      <c r="EV57" s="108"/>
      <c r="EW57" s="108"/>
      <c r="EX57" s="108"/>
      <c r="EY57" s="108"/>
      <c r="EZ57" s="108"/>
      <c r="FA57" s="108"/>
      <c r="FB57" s="108"/>
      <c r="FC57" s="108"/>
      <c r="FD57" s="108"/>
      <c r="FE57" s="108"/>
      <c r="FF57" s="108"/>
      <c r="FG57" s="108"/>
      <c r="FH57" s="108"/>
      <c r="FI57" s="108"/>
      <c r="FJ57" s="108"/>
      <c r="FK57" s="108"/>
      <c r="FL57" s="108"/>
      <c r="FM57" s="108"/>
      <c r="FN57" s="108"/>
      <c r="FO57" s="108"/>
      <c r="FP57" s="108"/>
      <c r="FQ57" s="108"/>
      <c r="FR57" s="108"/>
      <c r="FS57" s="108"/>
      <c r="FT57" s="108"/>
      <c r="FU57" s="108"/>
      <c r="FV57" s="108"/>
      <c r="FW57" s="108"/>
      <c r="FX57" s="108"/>
      <c r="FY57" s="108"/>
      <c r="FZ57" s="108"/>
      <c r="GA57" s="108"/>
      <c r="GB57" s="108"/>
      <c r="GC57" s="108"/>
      <c r="GD57" s="108"/>
      <c r="GE57" s="108"/>
      <c r="GF57" s="108"/>
      <c r="GG57" s="108"/>
      <c r="GH57" s="108"/>
      <c r="GI57" s="108"/>
      <c r="GJ57" s="108"/>
      <c r="GK57" s="108"/>
      <c r="GL57" s="108"/>
      <c r="GM57" s="108"/>
      <c r="GN57" s="108"/>
      <c r="GO57" s="108"/>
      <c r="GP57" s="108"/>
      <c r="GQ57" s="108"/>
      <c r="GR57" s="108"/>
      <c r="GS57" s="108"/>
      <c r="GT57" s="108"/>
      <c r="GU57" s="108"/>
      <c r="GV57" s="108"/>
      <c r="GW57" s="108"/>
      <c r="GX57" s="108"/>
      <c r="GY57" s="108"/>
      <c r="GZ57" s="108"/>
      <c r="HA57" s="108"/>
      <c r="HB57" s="108"/>
      <c r="HC57" s="108"/>
      <c r="HD57" s="108"/>
      <c r="HE57" s="108"/>
      <c r="HF57" s="108"/>
      <c r="HG57" s="108"/>
      <c r="HH57" s="108"/>
      <c r="HI57" s="108"/>
      <c r="HJ57" s="108"/>
      <c r="HK57" s="108"/>
      <c r="HL57" s="108"/>
      <c r="HM57" s="108"/>
      <c r="HN57" s="108"/>
      <c r="HO57" s="108"/>
      <c r="HP57" s="108"/>
      <c r="HQ57" s="108"/>
      <c r="HR57" s="108"/>
      <c r="HS57" s="108"/>
      <c r="HT57" s="108"/>
      <c r="HU57" s="108"/>
      <c r="HV57" s="108"/>
      <c r="HW57" s="108"/>
      <c r="HX57" s="108"/>
      <c r="HY57" s="108"/>
      <c r="HZ57" s="108"/>
      <c r="IA57" s="108"/>
      <c r="IB57" s="108"/>
      <c r="IC57" s="108"/>
      <c r="ID57" s="108"/>
      <c r="IE57" s="108"/>
      <c r="IF57" s="108"/>
      <c r="IG57" s="108"/>
      <c r="IH57" s="108"/>
      <c r="II57" s="108"/>
      <c r="IJ57" s="108"/>
      <c r="IK57" s="108"/>
      <c r="IL57" s="108"/>
      <c r="IM57" s="108"/>
      <c r="IN57" s="108"/>
      <c r="IO57" s="108"/>
      <c r="IP57" s="108"/>
      <c r="IQ57" s="108"/>
      <c r="IR57" s="108"/>
      <c r="IS57" s="108"/>
      <c r="IT57" s="108"/>
      <c r="IU57" s="108"/>
      <c r="IV57" s="108"/>
      <c r="IW57" s="108"/>
    </row>
    <row r="58" customFormat="false" ht="12.75" hidden="false" customHeight="false" outlineLevel="0" collapsed="false">
      <c r="A58" s="72" t="s">
        <v>539</v>
      </c>
      <c r="B58" s="108"/>
      <c r="C58" s="108"/>
      <c r="D58" s="108"/>
      <c r="E58" s="108"/>
      <c r="F58" s="557" t="n">
        <f aca="false">Assm!$E43*CF!E$9/12</f>
        <v>0</v>
      </c>
      <c r="G58" s="557" t="n">
        <f aca="false">Assm!$E43*CF!F$9/12</f>
        <v>0</v>
      </c>
      <c r="H58" s="557" t="n">
        <f aca="false">Assm!$E43*CF!G$9/12</f>
        <v>548.39</v>
      </c>
      <c r="I58" s="557" t="n">
        <f aca="false">Assm!$E43*CF!H$9/12</f>
        <v>658.068</v>
      </c>
      <c r="J58" s="557" t="n">
        <f aca="false">Assm!$E43*CF!I$9/12</f>
        <v>658.068</v>
      </c>
      <c r="K58" s="557" t="n">
        <f aca="false">Assm!$E43*CF!J$9/12</f>
        <v>658.068</v>
      </c>
      <c r="L58" s="557" t="n">
        <f aca="false">Assm!$E43*CF!K$9/12</f>
        <v>658.068</v>
      </c>
      <c r="M58" s="557" t="n">
        <f aca="false">Assm!$E43*CF!L$9/12</f>
        <v>658.068</v>
      </c>
      <c r="N58" s="557" t="n">
        <f aca="false">Assm!$E43*CF!M$9/12</f>
        <v>658.068</v>
      </c>
      <c r="O58" s="557" t="n">
        <f aca="false">Assm!$E43*CF!N$9/12</f>
        <v>658.068</v>
      </c>
      <c r="P58" s="557" t="n">
        <f aca="false">Assm!$E43*CF!O$9/12</f>
        <v>658.068</v>
      </c>
      <c r="Q58" s="557" t="n">
        <f aca="false">Assm!$E43*CF!P$9/12</f>
        <v>658.068</v>
      </c>
      <c r="R58" s="557" t="n">
        <f aca="false">Assm!$E43*CF!Q$9/12</f>
        <v>658.068</v>
      </c>
      <c r="S58" s="557" t="n">
        <f aca="false">Assm!$E43*CF!R$9/12</f>
        <v>658.068</v>
      </c>
      <c r="T58" s="557" t="n">
        <f aca="false">Assm!$E43*CF!S$9/12</f>
        <v>658.068</v>
      </c>
      <c r="U58" s="557" t="n">
        <f aca="false">Assm!$E43*CF!T$9/12</f>
        <v>658.068</v>
      </c>
      <c r="V58" s="557" t="n">
        <f aca="false">Assm!$E43*CF!U$9/12</f>
        <v>658.068</v>
      </c>
      <c r="W58" s="557" t="n">
        <f aca="false">Assm!$E43*CF!V$9/12</f>
        <v>658.068</v>
      </c>
      <c r="X58" s="557" t="n">
        <f aca="false">Assm!$E43*CF!W$9/12</f>
        <v>658.068</v>
      </c>
      <c r="Y58" s="557" t="n">
        <f aca="false">Assm!$E43*CF!X$9/12</f>
        <v>658.068</v>
      </c>
      <c r="Z58" s="557" t="n">
        <f aca="false">Assm!$E43*CF!Y$9/12</f>
        <v>219.356</v>
      </c>
      <c r="AA58" s="558" t="n">
        <f aca="false">SUM(F58:Z58)</f>
        <v>11954.902</v>
      </c>
      <c r="AC58" s="553" t="n">
        <f aca="false">AC57+1</f>
        <v>52</v>
      </c>
    </row>
    <row r="59" customFormat="false" ht="12.75" hidden="false" customHeight="false" outlineLevel="0" collapsed="false">
      <c r="A59" s="72" t="s">
        <v>540</v>
      </c>
      <c r="B59" s="108"/>
      <c r="C59" s="108"/>
      <c r="D59" s="108"/>
      <c r="E59" s="108"/>
      <c r="F59" s="559" t="n">
        <f aca="false">IF(OR(F$6=5,F$6=15),Assm!$B$43,0)</f>
        <v>0</v>
      </c>
      <c r="G59" s="559" t="n">
        <f aca="false">IF(OR(G$6=5,G$6=15),Assm!$B$43,0)</f>
        <v>0</v>
      </c>
      <c r="H59" s="559" t="n">
        <f aca="false">IF(OR(H$6=5,H$6=15),Assm!$B$43,0)</f>
        <v>0</v>
      </c>
      <c r="I59" s="559" t="n">
        <f aca="false">IF(OR(I$6=5,I$6=15),Assm!$B$43,0)</f>
        <v>0</v>
      </c>
      <c r="J59" s="559" t="n">
        <f aca="false">IF(OR(J$6=5,J$6=15),Assm!$B$43,0)</f>
        <v>600</v>
      </c>
      <c r="K59" s="559" t="n">
        <f aca="false">IF(OR(K$6=5,K$6=15),Assm!$B$43,0)</f>
        <v>0</v>
      </c>
      <c r="L59" s="559" t="n">
        <f aca="false">IF(OR(L$6=5,L$6=15),Assm!$B$43,0)</f>
        <v>0</v>
      </c>
      <c r="M59" s="559" t="n">
        <f aca="false">IF(OR(M$6=5,M$6=15),Assm!$B$43,0)</f>
        <v>0</v>
      </c>
      <c r="N59" s="559" t="n">
        <f aca="false">IF(OR(N$6=5,N$6=15),Assm!$B$43,0)</f>
        <v>0</v>
      </c>
      <c r="O59" s="559" t="n">
        <f aca="false">IF(OR(O$6=5,O$6=15),Assm!$B$43,0)</f>
        <v>0</v>
      </c>
      <c r="P59" s="559" t="n">
        <f aca="false">IF(OR(P$6=5,P$6=15),Assm!$B$43,0)</f>
        <v>0</v>
      </c>
      <c r="Q59" s="559" t="n">
        <f aca="false">IF(OR(Q$6=5,Q$6=15),Assm!$B$43,0)</f>
        <v>0</v>
      </c>
      <c r="R59" s="559" t="n">
        <f aca="false">IF(OR(R$6=5,R$6=15),Assm!$B$43,0)</f>
        <v>0</v>
      </c>
      <c r="S59" s="559" t="n">
        <f aca="false">IF(OR(S$6=5,S$6=15),Assm!$B$43,0)</f>
        <v>0</v>
      </c>
      <c r="T59" s="559" t="n">
        <f aca="false">IF(OR(T$6=5,T$6=15),Assm!$B$43,0)</f>
        <v>600</v>
      </c>
      <c r="U59" s="559" t="n">
        <f aca="false">IF(OR(U$6=5,U$6=15),Assm!$B$43,0)</f>
        <v>0</v>
      </c>
      <c r="V59" s="559" t="n">
        <f aca="false">IF(OR(V$6=5,V$6=15),Assm!$B$43,0)</f>
        <v>0</v>
      </c>
      <c r="W59" s="559" t="n">
        <f aca="false">IF(OR(W$6=5,W$6=15),Assm!$B$43,0)</f>
        <v>0</v>
      </c>
      <c r="X59" s="559" t="n">
        <f aca="false">IF(OR(X$6=5,X$6=15),Assm!$B$43,0)</f>
        <v>0</v>
      </c>
      <c r="Y59" s="559" t="n">
        <f aca="false">IF(OR(Y$6=5,Y$6=15),Assm!$B$43,0)</f>
        <v>0</v>
      </c>
      <c r="Z59" s="559" t="n">
        <f aca="false">IF(OR(Z$6=5,Z$6=15),Assm!$B$43,0)</f>
        <v>0</v>
      </c>
      <c r="AA59" s="560" t="n">
        <f aca="false">SUM(F59:Z59)</f>
        <v>1200</v>
      </c>
      <c r="AC59" s="553" t="n">
        <f aca="false">AC58+1</f>
        <v>53</v>
      </c>
    </row>
    <row r="60" customFormat="false" ht="12.75" hidden="false" customHeight="false" outlineLevel="0" collapsed="false">
      <c r="A60" s="72" t="s">
        <v>541</v>
      </c>
      <c r="B60" s="108"/>
      <c r="C60" s="108"/>
      <c r="D60" s="108"/>
      <c r="E60" s="108"/>
      <c r="F60" s="557" t="n">
        <f aca="false">SUM(F58:F59)</f>
        <v>0</v>
      </c>
      <c r="G60" s="557" t="n">
        <f aca="false">SUM(G58:G59)</f>
        <v>0</v>
      </c>
      <c r="H60" s="557" t="n">
        <f aca="false">SUM(H58:H59)</f>
        <v>548.39</v>
      </c>
      <c r="I60" s="557" t="n">
        <f aca="false">SUM(I58:I59)</f>
        <v>658.068</v>
      </c>
      <c r="J60" s="557" t="n">
        <f aca="false">SUM(J58:J59)</f>
        <v>1258.068</v>
      </c>
      <c r="K60" s="557" t="n">
        <f aca="false">SUM(K58:K59)</f>
        <v>658.068</v>
      </c>
      <c r="L60" s="557" t="n">
        <f aca="false">SUM(L58:L59)</f>
        <v>658.068</v>
      </c>
      <c r="M60" s="557" t="n">
        <f aca="false">SUM(M58:M59)</f>
        <v>658.068</v>
      </c>
      <c r="N60" s="557" t="n">
        <f aca="false">SUM(N58:N59)</f>
        <v>658.068</v>
      </c>
      <c r="O60" s="557" t="n">
        <f aca="false">SUM(O58:O59)</f>
        <v>658.068</v>
      </c>
      <c r="P60" s="557" t="n">
        <f aca="false">SUM(P58:P59)</f>
        <v>658.068</v>
      </c>
      <c r="Q60" s="557" t="n">
        <f aca="false">SUM(Q58:Q59)</f>
        <v>658.068</v>
      </c>
      <c r="R60" s="557" t="n">
        <f aca="false">SUM(R58:R59)</f>
        <v>658.068</v>
      </c>
      <c r="S60" s="557" t="n">
        <f aca="false">SUM(S58:S59)</f>
        <v>658.068</v>
      </c>
      <c r="T60" s="557" t="n">
        <f aca="false">SUM(T58:T59)</f>
        <v>1258.068</v>
      </c>
      <c r="U60" s="557" t="n">
        <f aca="false">SUM(U58:U59)</f>
        <v>658.068</v>
      </c>
      <c r="V60" s="557" t="n">
        <f aca="false">SUM(V58:V59)</f>
        <v>658.068</v>
      </c>
      <c r="W60" s="557" t="n">
        <f aca="false">SUM(W58:W59)</f>
        <v>658.068</v>
      </c>
      <c r="X60" s="557" t="n">
        <f aca="false">SUM(X58:X59)</f>
        <v>658.068</v>
      </c>
      <c r="Y60" s="557" t="n">
        <f aca="false">SUM(Y58:Y59)</f>
        <v>658.068</v>
      </c>
      <c r="Z60" s="557" t="n">
        <f aca="false">SUM(Z58:Z59)</f>
        <v>219.356</v>
      </c>
      <c r="AA60" s="558" t="n">
        <f aca="false">SUM(F60:Z60)</f>
        <v>13154.902</v>
      </c>
      <c r="AC60" s="553" t="n">
        <f aca="false">AC59+1</f>
        <v>54</v>
      </c>
    </row>
    <row r="61" customFormat="false" ht="12.75" hidden="false" customHeight="false" outlineLevel="0" collapsed="false">
      <c r="A61" s="72" t="s">
        <v>542</v>
      </c>
      <c r="B61" s="108"/>
      <c r="C61" s="108"/>
      <c r="D61" s="108"/>
      <c r="E61" s="108"/>
      <c r="F61" s="591" t="n">
        <f aca="false">CF!E12</f>
        <v>1.0374531835206</v>
      </c>
      <c r="G61" s="591" t="n">
        <f aca="false">CF!F12</f>
        <v>1.06207999503397</v>
      </c>
      <c r="H61" s="591" t="n">
        <f aca="false">CF!G12</f>
        <v>1.09718061747934</v>
      </c>
      <c r="I61" s="591" t="n">
        <f aca="false">CF!H12</f>
        <v>1.13219066683837</v>
      </c>
      <c r="J61" s="591" t="n">
        <f aca="false">CF!I12</f>
        <v>1.16628704592773</v>
      </c>
      <c r="K61" s="591" t="n">
        <f aca="false">CF!J12</f>
        <v>1.20034933429065</v>
      </c>
      <c r="L61" s="591" t="n">
        <f aca="false">CF!K12</f>
        <v>1.23462294375966</v>
      </c>
      <c r="M61" s="591" t="n">
        <f aca="false">CF!L12</f>
        <v>1.26919095628799</v>
      </c>
      <c r="N61" s="591" t="n">
        <f aca="false">CF!M12</f>
        <v>1.30389657610682</v>
      </c>
      <c r="O61" s="591" t="n">
        <f aca="false">CF!N12</f>
        <v>1.33877978058913</v>
      </c>
      <c r="P61" s="591" t="n">
        <f aca="false">CF!O12</f>
        <v>1.37395101449367</v>
      </c>
      <c r="Q61" s="591" t="n">
        <f aca="false">CF!P12</f>
        <v>1.40945468809218</v>
      </c>
      <c r="R61" s="591" t="n">
        <f aca="false">CF!Q12</f>
        <v>1.44536293026781</v>
      </c>
      <c r="S61" s="591" t="n">
        <f aca="false">CF!R12</f>
        <v>1.48180861051097</v>
      </c>
      <c r="T61" s="591" t="n">
        <f aca="false">CF!S12</f>
        <v>1.51901070889322</v>
      </c>
      <c r="U61" s="591" t="n">
        <f aca="false">CF!T12</f>
        <v>1.55739783154092</v>
      </c>
      <c r="V61" s="591" t="n">
        <f aca="false">CF!U12</f>
        <v>1.59733039824151</v>
      </c>
      <c r="W61" s="591" t="n">
        <f aca="false">CF!V12</f>
        <v>1.63898344452994</v>
      </c>
      <c r="X61" s="591" t="n">
        <f aca="false">CF!W12</f>
        <v>1.68254669873615</v>
      </c>
      <c r="Y61" s="591" t="n">
        <f aca="false">CF!X12</f>
        <v>1.72801332733687</v>
      </c>
      <c r="Z61" s="591" t="n">
        <f aca="false">CF!Y12</f>
        <v>1.77543572910631</v>
      </c>
      <c r="AA61" s="592"/>
      <c r="AC61" s="553" t="n">
        <f aca="false">AC60+1</f>
        <v>55</v>
      </c>
    </row>
    <row r="62" customFormat="false" ht="12.75" hidden="false" customHeight="false" outlineLevel="0" collapsed="false">
      <c r="A62" s="72" t="s">
        <v>543</v>
      </c>
      <c r="B62" s="108"/>
      <c r="C62" s="108"/>
      <c r="D62" s="108"/>
      <c r="E62" s="108"/>
      <c r="F62" s="557" t="n">
        <f aca="false">F60*F61</f>
        <v>0</v>
      </c>
      <c r="G62" s="557" t="n">
        <f aca="false">G60*G61</f>
        <v>0</v>
      </c>
      <c r="H62" s="557" t="n">
        <f aca="false">H60*H61</f>
        <v>601.682878819496</v>
      </c>
      <c r="I62" s="557" t="n">
        <f aca="false">I60*I61</f>
        <v>745.05844774499</v>
      </c>
      <c r="J62" s="557" t="n">
        <f aca="false">J60*J61</f>
        <v>1467.26841129621</v>
      </c>
      <c r="K62" s="557" t="n">
        <f aca="false">K60*K61</f>
        <v>789.911485717979</v>
      </c>
      <c r="L62" s="557" t="n">
        <f aca="false">L60*L61</f>
        <v>812.465851354034</v>
      </c>
      <c r="M62" s="557" t="n">
        <f aca="false">M60*M61</f>
        <v>835.213954222524</v>
      </c>
      <c r="N62" s="557" t="n">
        <f aca="false">N60*N61</f>
        <v>858.05261204546</v>
      </c>
      <c r="O62" s="557" t="n">
        <f aca="false">O60*O61</f>
        <v>881.008132652725</v>
      </c>
      <c r="P62" s="557" t="n">
        <f aca="false">P60*P61</f>
        <v>904.153196205819</v>
      </c>
      <c r="Q62" s="557" t="n">
        <f aca="false">Q60*Q61</f>
        <v>927.517027683444</v>
      </c>
      <c r="R62" s="557" t="n">
        <f aca="false">R60*R61</f>
        <v>951.147092795475</v>
      </c>
      <c r="S62" s="557" t="n">
        <f aca="false">S60*S61</f>
        <v>975.130828701734</v>
      </c>
      <c r="T62" s="557" t="n">
        <f aca="false">T60*T61</f>
        <v>1911.01876451588</v>
      </c>
      <c r="U62" s="557" t="n">
        <f aca="false">U60*U61</f>
        <v>1024.87367620647</v>
      </c>
      <c r="V62" s="557" t="n">
        <f aca="false">V60*V61</f>
        <v>1051.15202050999</v>
      </c>
      <c r="W62" s="557" t="n">
        <f aca="false">W60*W61</f>
        <v>1078.56255737493</v>
      </c>
      <c r="X62" s="557" t="n">
        <f aca="false">X60*X61</f>
        <v>1107.2301409439</v>
      </c>
      <c r="Y62" s="557" t="n">
        <f aca="false">Y60*Y61</f>
        <v>1137.15027429392</v>
      </c>
      <c r="Z62" s="557" t="n">
        <f aca="false">Z60*Z61</f>
        <v>389.452479793844</v>
      </c>
      <c r="AA62" s="558" t="n">
        <f aca="false">SUM(F62:Z62)</f>
        <v>18448.0498328788</v>
      </c>
      <c r="AC62" s="553" t="n">
        <f aca="false">AC61+1</f>
        <v>56</v>
      </c>
    </row>
    <row r="63" customFormat="false" ht="12.75" hidden="false" customHeight="false" outlineLevel="0" collapsed="false">
      <c r="A63" s="72"/>
      <c r="B63" s="108"/>
      <c r="C63" s="108"/>
      <c r="D63" s="108"/>
      <c r="E63" s="108"/>
      <c r="F63" s="557"/>
      <c r="G63" s="557"/>
      <c r="H63" s="557"/>
      <c r="I63" s="557"/>
      <c r="J63" s="557"/>
      <c r="K63" s="557"/>
      <c r="L63" s="557"/>
      <c r="M63" s="557"/>
      <c r="N63" s="557"/>
      <c r="O63" s="557"/>
      <c r="P63" s="557"/>
      <c r="Q63" s="557"/>
      <c r="R63" s="557"/>
      <c r="S63" s="557"/>
      <c r="T63" s="557"/>
      <c r="U63" s="557"/>
      <c r="V63" s="557"/>
      <c r="W63" s="557"/>
      <c r="X63" s="557"/>
      <c r="Y63" s="557"/>
      <c r="Z63" s="557"/>
      <c r="AA63" s="558"/>
      <c r="AC63" s="553" t="n">
        <f aca="false">AC62+1</f>
        <v>57</v>
      </c>
    </row>
    <row r="64" customFormat="false" ht="12.75" hidden="false" customHeight="false" outlineLevel="0" collapsed="false">
      <c r="A64" s="506" t="s">
        <v>544</v>
      </c>
      <c r="B64" s="507"/>
      <c r="C64" s="507"/>
      <c r="D64" s="507"/>
      <c r="E64" s="507"/>
      <c r="F64" s="593" t="n">
        <f aca="false">F62</f>
        <v>0</v>
      </c>
      <c r="G64" s="593" t="n">
        <f aca="false">G62</f>
        <v>0</v>
      </c>
      <c r="H64" s="593" t="n">
        <f aca="false">H62</f>
        <v>601.682878819496</v>
      </c>
      <c r="I64" s="593" t="n">
        <f aca="false">I62</f>
        <v>745.05844774499</v>
      </c>
      <c r="J64" s="593" t="n">
        <f aca="false">J62</f>
        <v>1467.26841129621</v>
      </c>
      <c r="K64" s="593" t="n">
        <f aca="false">K62</f>
        <v>789.911485717979</v>
      </c>
      <c r="L64" s="593" t="n">
        <f aca="false">L62</f>
        <v>812.465851354034</v>
      </c>
      <c r="M64" s="593" t="n">
        <f aca="false">M62</f>
        <v>835.213954222524</v>
      </c>
      <c r="N64" s="593" t="n">
        <f aca="false">N62</f>
        <v>858.05261204546</v>
      </c>
      <c r="O64" s="593" t="n">
        <f aca="false">O62</f>
        <v>881.008132652725</v>
      </c>
      <c r="P64" s="593" t="n">
        <f aca="false">P62</f>
        <v>904.153196205819</v>
      </c>
      <c r="Q64" s="593" t="n">
        <f aca="false">Q62</f>
        <v>927.517027683444</v>
      </c>
      <c r="R64" s="593" t="n">
        <f aca="false">R62</f>
        <v>951.147092795475</v>
      </c>
      <c r="S64" s="593" t="n">
        <f aca="false">S62</f>
        <v>975.130828701734</v>
      </c>
      <c r="T64" s="593" t="n">
        <f aca="false">T62</f>
        <v>1911.01876451588</v>
      </c>
      <c r="U64" s="593" t="n">
        <f aca="false">U62</f>
        <v>1024.87367620647</v>
      </c>
      <c r="V64" s="593" t="n">
        <f aca="false">V62</f>
        <v>1051.15202050999</v>
      </c>
      <c r="W64" s="593" t="n">
        <f aca="false">W62</f>
        <v>1078.56255737493</v>
      </c>
      <c r="X64" s="593" t="n">
        <f aca="false">X62</f>
        <v>1107.2301409439</v>
      </c>
      <c r="Y64" s="593" t="n">
        <f aca="false">Y62</f>
        <v>1137.15027429392</v>
      </c>
      <c r="Z64" s="593" t="n">
        <f aca="false">Z62</f>
        <v>389.452479793844</v>
      </c>
      <c r="AA64" s="567" t="n">
        <f aca="false">SUM(F64:Z64)</f>
        <v>18448.0498328788</v>
      </c>
      <c r="AC64" s="553" t="n">
        <f aca="false">AC63+1</f>
        <v>58</v>
      </c>
    </row>
    <row r="65" customFormat="false" ht="12.75" hidden="false" customHeight="false" outlineLevel="0" collapsed="false">
      <c r="A65" s="572" t="s">
        <v>545</v>
      </c>
      <c r="B65" s="573"/>
      <c r="C65" s="573"/>
      <c r="D65" s="573"/>
      <c r="E65" s="573"/>
      <c r="F65" s="594" t="n">
        <f aca="false">F64-F62</f>
        <v>0</v>
      </c>
      <c r="G65" s="594" t="n">
        <f aca="false">G64-G62</f>
        <v>0</v>
      </c>
      <c r="H65" s="594" t="n">
        <f aca="false">H64-H62</f>
        <v>0</v>
      </c>
      <c r="I65" s="594" t="n">
        <f aca="false">I64-I62</f>
        <v>0</v>
      </c>
      <c r="J65" s="594" t="n">
        <f aca="false">J64-J62</f>
        <v>0</v>
      </c>
      <c r="K65" s="594" t="n">
        <f aca="false">K64-K62</f>
        <v>0</v>
      </c>
      <c r="L65" s="594" t="n">
        <f aca="false">L64-L62</f>
        <v>0</v>
      </c>
      <c r="M65" s="594" t="n">
        <f aca="false">M64-M62</f>
        <v>0</v>
      </c>
      <c r="N65" s="594" t="n">
        <f aca="false">N64-N62</f>
        <v>0</v>
      </c>
      <c r="O65" s="594" t="n">
        <f aca="false">O64-O62</f>
        <v>0</v>
      </c>
      <c r="P65" s="594" t="n">
        <f aca="false">P64-P62</f>
        <v>0</v>
      </c>
      <c r="Q65" s="594" t="n">
        <f aca="false">Q64-Q62</f>
        <v>0</v>
      </c>
      <c r="R65" s="594" t="n">
        <f aca="false">R64-R62</f>
        <v>0</v>
      </c>
      <c r="S65" s="594" t="n">
        <f aca="false">S64-S62</f>
        <v>0</v>
      </c>
      <c r="T65" s="594" t="n">
        <f aca="false">T64-T62</f>
        <v>0</v>
      </c>
      <c r="U65" s="594" t="n">
        <f aca="false">U64-U62</f>
        <v>0</v>
      </c>
      <c r="V65" s="594" t="n">
        <f aca="false">V64-V62</f>
        <v>0</v>
      </c>
      <c r="W65" s="594" t="n">
        <f aca="false">W64-W62</f>
        <v>0</v>
      </c>
      <c r="X65" s="594" t="n">
        <f aca="false">X64-X62</f>
        <v>0</v>
      </c>
      <c r="Y65" s="594" t="n">
        <f aca="false">Y64-Y62</f>
        <v>0</v>
      </c>
      <c r="Z65" s="594" t="n">
        <f aca="false">Z64-Z62</f>
        <v>0</v>
      </c>
      <c r="AA65" s="575" t="n">
        <f aca="false">SUM(F65:Z65)</f>
        <v>0</v>
      </c>
      <c r="AC65" s="553" t="n">
        <f aca="false">AC64+1</f>
        <v>59</v>
      </c>
    </row>
    <row r="66" customFormat="false" ht="12.75" hidden="false" customHeight="false" outlineLevel="0" collapsed="false">
      <c r="A66" s="82"/>
      <c r="B66" s="108"/>
      <c r="C66" s="108"/>
      <c r="D66" s="108"/>
      <c r="E66" s="108"/>
      <c r="F66" s="595"/>
      <c r="G66" s="595"/>
      <c r="H66" s="595"/>
      <c r="I66" s="595"/>
      <c r="J66" s="595"/>
      <c r="K66" s="595"/>
      <c r="L66" s="595"/>
      <c r="M66" s="595"/>
      <c r="N66" s="595"/>
      <c r="O66" s="595"/>
      <c r="P66" s="595"/>
      <c r="Q66" s="595"/>
      <c r="R66" s="595"/>
      <c r="S66" s="595"/>
      <c r="T66" s="595"/>
      <c r="U66" s="595"/>
      <c r="V66" s="595"/>
      <c r="W66" s="595"/>
      <c r="X66" s="595"/>
      <c r="Y66" s="595"/>
      <c r="Z66" s="595"/>
      <c r="AA66" s="558"/>
      <c r="AC66" s="553" t="n">
        <f aca="false">AC65+1</f>
        <v>60</v>
      </c>
    </row>
    <row r="67" customFormat="false" ht="12.75" hidden="false" customHeight="false" outlineLevel="0" collapsed="false">
      <c r="A67" s="596" t="s">
        <v>546</v>
      </c>
      <c r="B67" s="108"/>
      <c r="C67" s="108"/>
      <c r="D67" s="108"/>
      <c r="E67" s="108"/>
      <c r="F67" s="557"/>
      <c r="G67" s="557"/>
      <c r="H67" s="557"/>
      <c r="I67" s="557"/>
      <c r="J67" s="557"/>
      <c r="K67" s="557"/>
      <c r="L67" s="557"/>
      <c r="M67" s="557"/>
      <c r="N67" s="557"/>
      <c r="O67" s="557"/>
      <c r="P67" s="557"/>
      <c r="Q67" s="557"/>
      <c r="R67" s="557"/>
      <c r="S67" s="557"/>
      <c r="T67" s="557"/>
      <c r="U67" s="557"/>
      <c r="V67" s="557"/>
      <c r="W67" s="557"/>
      <c r="X67" s="557"/>
      <c r="Y67" s="557"/>
      <c r="Z67" s="557"/>
      <c r="AA67" s="558"/>
      <c r="AC67" s="553" t="n">
        <f aca="false">AC66+1</f>
        <v>61</v>
      </c>
    </row>
    <row r="68" customFormat="false" ht="12.75" hidden="false" customHeight="false" outlineLevel="0" collapsed="false">
      <c r="A68" s="72" t="s">
        <v>472</v>
      </c>
      <c r="B68" s="108"/>
      <c r="C68" s="108"/>
      <c r="D68" s="108"/>
      <c r="E68" s="108"/>
      <c r="F68" s="98" t="n">
        <v>0</v>
      </c>
      <c r="G68" s="557" t="n">
        <f aca="false">F71</f>
        <v>0</v>
      </c>
      <c r="H68" s="557" t="n">
        <f aca="false">G71</f>
        <v>0</v>
      </c>
      <c r="I68" s="557" t="n">
        <f aca="false">H71</f>
        <v>0</v>
      </c>
      <c r="J68" s="557" t="n">
        <f aca="false">I71</f>
        <v>0</v>
      </c>
      <c r="K68" s="557" t="n">
        <f aca="false">J71</f>
        <v>0</v>
      </c>
      <c r="L68" s="557" t="n">
        <f aca="false">K71</f>
        <v>0</v>
      </c>
      <c r="M68" s="557" t="n">
        <f aca="false">L71</f>
        <v>0</v>
      </c>
      <c r="N68" s="557" t="n">
        <f aca="false">M71</f>
        <v>0</v>
      </c>
      <c r="O68" s="557" t="n">
        <f aca="false">N71</f>
        <v>0</v>
      </c>
      <c r="P68" s="557" t="n">
        <f aca="false">O71</f>
        <v>0</v>
      </c>
      <c r="Q68" s="557" t="n">
        <f aca="false">P71</f>
        <v>0</v>
      </c>
      <c r="R68" s="557" t="n">
        <f aca="false">Q71</f>
        <v>0</v>
      </c>
      <c r="S68" s="557" t="n">
        <f aca="false">R71</f>
        <v>0</v>
      </c>
      <c r="T68" s="557" t="n">
        <f aca="false">S71</f>
        <v>0</v>
      </c>
      <c r="U68" s="557" t="n">
        <f aca="false">T71</f>
        <v>0</v>
      </c>
      <c r="V68" s="557" t="n">
        <f aca="false">U71</f>
        <v>0</v>
      </c>
      <c r="W68" s="557" t="n">
        <f aca="false">V71</f>
        <v>0</v>
      </c>
      <c r="X68" s="557" t="n">
        <f aca="false">W71</f>
        <v>0</v>
      </c>
      <c r="Y68" s="557" t="n">
        <f aca="false">X71</f>
        <v>0</v>
      </c>
      <c r="Z68" s="557" t="n">
        <f aca="false">Y71</f>
        <v>0</v>
      </c>
      <c r="AA68" s="558" t="n">
        <f aca="false">F68</f>
        <v>0</v>
      </c>
      <c r="AC68" s="553" t="n">
        <f aca="false">AC67+1</f>
        <v>62</v>
      </c>
    </row>
    <row r="69" customFormat="false" ht="12.75" hidden="false" customHeight="false" outlineLevel="0" collapsed="false">
      <c r="A69" s="72" t="s">
        <v>547</v>
      </c>
      <c r="B69" s="108"/>
      <c r="C69" s="108"/>
      <c r="D69" s="108"/>
      <c r="E69" s="108"/>
      <c r="F69" s="557" t="n">
        <f aca="false">F64</f>
        <v>0</v>
      </c>
      <c r="G69" s="557" t="n">
        <f aca="false">G64</f>
        <v>0</v>
      </c>
      <c r="H69" s="557" t="n">
        <f aca="false">H64</f>
        <v>601.682878819496</v>
      </c>
      <c r="I69" s="557" t="n">
        <f aca="false">I64</f>
        <v>745.05844774499</v>
      </c>
      <c r="J69" s="557" t="n">
        <f aca="false">J64</f>
        <v>1467.26841129621</v>
      </c>
      <c r="K69" s="557" t="n">
        <f aca="false">K64</f>
        <v>789.911485717979</v>
      </c>
      <c r="L69" s="557" t="n">
        <f aca="false">L64</f>
        <v>812.465851354034</v>
      </c>
      <c r="M69" s="557" t="n">
        <f aca="false">M64</f>
        <v>835.213954222524</v>
      </c>
      <c r="N69" s="557" t="n">
        <f aca="false">N64</f>
        <v>858.05261204546</v>
      </c>
      <c r="O69" s="557" t="n">
        <f aca="false">O64</f>
        <v>881.008132652725</v>
      </c>
      <c r="P69" s="557" t="n">
        <f aca="false">P64</f>
        <v>904.153196205819</v>
      </c>
      <c r="Q69" s="557" t="n">
        <f aca="false">Q64</f>
        <v>927.517027683444</v>
      </c>
      <c r="R69" s="557" t="n">
        <f aca="false">R64</f>
        <v>951.147092795475</v>
      </c>
      <c r="S69" s="557" t="n">
        <f aca="false">S64</f>
        <v>975.130828701734</v>
      </c>
      <c r="T69" s="557" t="n">
        <f aca="false">T64</f>
        <v>1911.01876451588</v>
      </c>
      <c r="U69" s="557" t="n">
        <f aca="false">U64</f>
        <v>1024.87367620647</v>
      </c>
      <c r="V69" s="557" t="n">
        <f aca="false">V64</f>
        <v>1051.15202050999</v>
      </c>
      <c r="W69" s="557" t="n">
        <f aca="false">W64</f>
        <v>1078.56255737493</v>
      </c>
      <c r="X69" s="557" t="n">
        <f aca="false">X64</f>
        <v>1107.2301409439</v>
      </c>
      <c r="Y69" s="557" t="n">
        <f aca="false">Y64</f>
        <v>1137.15027429392</v>
      </c>
      <c r="Z69" s="557" t="n">
        <f aca="false">Z64</f>
        <v>389.452479793844</v>
      </c>
      <c r="AA69" s="558" t="n">
        <f aca="false">SUM(F69:Z69)</f>
        <v>18448.0498328788</v>
      </c>
      <c r="AC69" s="553" t="n">
        <f aca="false">AC68+1</f>
        <v>63</v>
      </c>
    </row>
    <row r="70" customFormat="false" ht="12.75" hidden="false" customHeight="false" outlineLevel="0" collapsed="false">
      <c r="A70" s="72" t="s">
        <v>548</v>
      </c>
      <c r="B70" s="108"/>
      <c r="C70" s="108"/>
      <c r="D70" s="108"/>
      <c r="E70" s="108"/>
      <c r="F70" s="559" t="n">
        <f aca="false">-F62</f>
        <v>-0</v>
      </c>
      <c r="G70" s="559" t="n">
        <f aca="false">-G62</f>
        <v>-0</v>
      </c>
      <c r="H70" s="559" t="n">
        <f aca="false">-H62</f>
        <v>-601.682878819496</v>
      </c>
      <c r="I70" s="559" t="n">
        <f aca="false">-I62</f>
        <v>-745.05844774499</v>
      </c>
      <c r="J70" s="559" t="n">
        <f aca="false">-J62</f>
        <v>-1467.26841129621</v>
      </c>
      <c r="K70" s="559" t="n">
        <f aca="false">-K62</f>
        <v>-789.911485717979</v>
      </c>
      <c r="L70" s="559" t="n">
        <f aca="false">-L62</f>
        <v>-812.465851354034</v>
      </c>
      <c r="M70" s="559" t="n">
        <f aca="false">-M62</f>
        <v>-835.213954222524</v>
      </c>
      <c r="N70" s="559" t="n">
        <f aca="false">-N62</f>
        <v>-858.05261204546</v>
      </c>
      <c r="O70" s="559" t="n">
        <f aca="false">-O62</f>
        <v>-881.008132652725</v>
      </c>
      <c r="P70" s="559" t="n">
        <f aca="false">-P62</f>
        <v>-904.153196205819</v>
      </c>
      <c r="Q70" s="559" t="n">
        <f aca="false">-Q62</f>
        <v>-927.517027683444</v>
      </c>
      <c r="R70" s="559" t="n">
        <f aca="false">-R62</f>
        <v>-951.147092795475</v>
      </c>
      <c r="S70" s="559" t="n">
        <f aca="false">-S62</f>
        <v>-975.130828701734</v>
      </c>
      <c r="T70" s="559" t="n">
        <f aca="false">-T62</f>
        <v>-1911.01876451588</v>
      </c>
      <c r="U70" s="559" t="n">
        <f aca="false">-U62</f>
        <v>-1024.87367620647</v>
      </c>
      <c r="V70" s="559" t="n">
        <f aca="false">-V62</f>
        <v>-1051.15202050999</v>
      </c>
      <c r="W70" s="559" t="n">
        <f aca="false">-W62</f>
        <v>-1078.56255737493</v>
      </c>
      <c r="X70" s="559" t="n">
        <f aca="false">-X62</f>
        <v>-1107.2301409439</v>
      </c>
      <c r="Y70" s="559" t="n">
        <f aca="false">-Y62</f>
        <v>-1137.15027429392</v>
      </c>
      <c r="Z70" s="559" t="n">
        <f aca="false">-Z62</f>
        <v>-389.452479793844</v>
      </c>
      <c r="AA70" s="560" t="n">
        <f aca="false">SUM(F70:Z70)</f>
        <v>-18448.0498328788</v>
      </c>
      <c r="AC70" s="553" t="n">
        <f aca="false">AC69+1</f>
        <v>64</v>
      </c>
    </row>
    <row r="71" customFormat="false" ht="13.5" hidden="false" customHeight="false" outlineLevel="0" collapsed="false">
      <c r="A71" s="218" t="s">
        <v>476</v>
      </c>
      <c r="B71" s="219"/>
      <c r="C71" s="219"/>
      <c r="D71" s="219"/>
      <c r="E71" s="219"/>
      <c r="F71" s="597" t="n">
        <f aca="false">SUM(F68:F70)</f>
        <v>0</v>
      </c>
      <c r="G71" s="597" t="n">
        <f aca="false">SUM(G68:G70)</f>
        <v>0</v>
      </c>
      <c r="H71" s="597" t="n">
        <f aca="false">SUM(H68:H70)</f>
        <v>0</v>
      </c>
      <c r="I71" s="597" t="n">
        <f aca="false">SUM(I68:I70)</f>
        <v>0</v>
      </c>
      <c r="J71" s="597" t="n">
        <f aca="false">SUM(J68:J70)</f>
        <v>0</v>
      </c>
      <c r="K71" s="597" t="n">
        <f aca="false">SUM(K68:K70)</f>
        <v>0</v>
      </c>
      <c r="L71" s="597" t="n">
        <f aca="false">SUM(L68:L70)</f>
        <v>0</v>
      </c>
      <c r="M71" s="597" t="n">
        <f aca="false">SUM(M68:M70)</f>
        <v>0</v>
      </c>
      <c r="N71" s="597" t="n">
        <f aca="false">SUM(N68:N70)</f>
        <v>0</v>
      </c>
      <c r="O71" s="597" t="n">
        <f aca="false">SUM(O68:O70)</f>
        <v>0</v>
      </c>
      <c r="P71" s="597" t="n">
        <f aca="false">SUM(P68:P70)</f>
        <v>0</v>
      </c>
      <c r="Q71" s="597" t="n">
        <f aca="false">SUM(Q68:Q70)</f>
        <v>0</v>
      </c>
      <c r="R71" s="597" t="n">
        <f aca="false">SUM(R68:R70)</f>
        <v>0</v>
      </c>
      <c r="S71" s="597" t="n">
        <f aca="false">SUM(S68:S70)</f>
        <v>0</v>
      </c>
      <c r="T71" s="597" t="n">
        <f aca="false">SUM(T68:T70)</f>
        <v>0</v>
      </c>
      <c r="U71" s="597" t="n">
        <f aca="false">SUM(U68:U70)</f>
        <v>0</v>
      </c>
      <c r="V71" s="597" t="n">
        <f aca="false">SUM(V68:V70)</f>
        <v>0</v>
      </c>
      <c r="W71" s="597" t="n">
        <f aca="false">SUM(W68:W70)</f>
        <v>0</v>
      </c>
      <c r="X71" s="597" t="n">
        <f aca="false">SUM(X68:X70)</f>
        <v>0</v>
      </c>
      <c r="Y71" s="597" t="n">
        <f aca="false">SUM(Y68:Y70)</f>
        <v>0</v>
      </c>
      <c r="Z71" s="597" t="n">
        <f aca="false">SUM(Z68:Z70)</f>
        <v>0</v>
      </c>
      <c r="AA71" s="598" t="n">
        <f aca="false">SUM(AA68:AA70)</f>
        <v>0</v>
      </c>
      <c r="AC71" s="553" t="n">
        <f aca="false">AC70+1</f>
        <v>65</v>
      </c>
    </row>
    <row r="72" customFormat="false" ht="12.75" hidden="false" customHeight="false" outlineLevel="0" collapsed="false">
      <c r="B72" s="108"/>
      <c r="C72" s="108"/>
      <c r="D72" s="108"/>
      <c r="E72" s="108"/>
      <c r="F72" s="589"/>
      <c r="G72" s="589"/>
      <c r="H72" s="589"/>
      <c r="I72" s="589"/>
      <c r="J72" s="589"/>
      <c r="K72" s="589"/>
      <c r="L72" s="589"/>
      <c r="M72" s="589"/>
      <c r="N72" s="589"/>
      <c r="O72" s="589"/>
      <c r="P72" s="589"/>
      <c r="Q72" s="589"/>
      <c r="R72" s="589"/>
      <c r="S72" s="589"/>
      <c r="T72" s="589"/>
      <c r="U72" s="589"/>
      <c r="V72" s="589"/>
      <c r="W72" s="589"/>
      <c r="X72" s="589"/>
      <c r="Y72" s="589"/>
      <c r="Z72" s="58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57"/>
  <sheetViews>
    <sheetView showFormulas="false" showGridLines="false" showRowColHeaders="true" showZeros="true" rightToLeft="false" tabSelected="false" showOutlineSymbols="true" defaultGridColor="true" view="normal" topLeftCell="A34" colorId="64" zoomScale="90" zoomScaleNormal="90" zoomScalePageLayoutView="100" workbookViewId="0">
      <selection pane="topLeft" activeCell="A65" activeCellId="0" sqref="A6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1.7"/>
    <col collapsed="false" customWidth="true" hidden="false" outlineLevel="0" max="4" min="2" style="1" width="12.7"/>
    <col collapsed="false" customWidth="true" hidden="false" outlineLevel="0" max="5" min="5" style="1" width="3.7"/>
    <col collapsed="false" customWidth="true" hidden="false" outlineLevel="0" max="6" min="6" style="1" width="1.7"/>
    <col collapsed="false" customWidth="true" hidden="false" outlineLevel="0" max="7" min="7" style="1" width="33.7"/>
    <col collapsed="false" customWidth="true" hidden="false" outlineLevel="0" max="11" min="8" style="1" width="12.7"/>
    <col collapsed="false" customWidth="false" hidden="false" outlineLevel="0" max="257" min="12" style="1" width="9.14"/>
  </cols>
  <sheetData>
    <row r="1" customFormat="false" ht="15.75" hidden="false" customHeight="false" outlineLevel="0" collapsed="false">
      <c r="A1" s="14" t="str">
        <f aca="false">Assm!A1</f>
        <v>GASOCIDENTE DO MATO GROSSO LTDA (GASMAT) *** DRAFT COPY ***</v>
      </c>
      <c r="B1" s="599"/>
      <c r="C1" s="283"/>
      <c r="D1" s="283"/>
      <c r="E1" s="283"/>
      <c r="F1" s="15"/>
      <c r="G1" s="15"/>
      <c r="J1" s="23"/>
      <c r="R1" s="17"/>
    </row>
    <row r="2" customFormat="false" ht="15.75" hidden="false" customHeight="false" outlineLevel="0" collapsed="false">
      <c r="A2" s="14" t="str">
        <f aca="false">Assm!A2</f>
        <v>257 KM PIPELINE SPUR FOR CUIABA POWER PLANT (BRAZIL)</v>
      </c>
      <c r="B2" s="599"/>
      <c r="C2" s="283"/>
      <c r="D2" s="283"/>
      <c r="E2" s="283"/>
      <c r="F2" s="15"/>
      <c r="G2" s="15"/>
      <c r="J2" s="23"/>
      <c r="R2" s="17"/>
    </row>
    <row r="3" customFormat="false" ht="15.75" hidden="false" customHeight="false" outlineLevel="0" collapsed="false">
      <c r="A3" s="18" t="str">
        <f aca="false">Assm!A3</f>
        <v>ENRON INTERNATIONAL</v>
      </c>
      <c r="B3" s="600"/>
      <c r="C3" s="18"/>
      <c r="D3" s="18"/>
      <c r="E3" s="18"/>
      <c r="F3" s="15"/>
      <c r="G3" s="15"/>
      <c r="J3" s="23"/>
      <c r="S3" s="20"/>
      <c r="T3" s="20"/>
    </row>
    <row r="4" customFormat="false" ht="15.75" hidden="false" customHeight="false" outlineLevel="0" collapsed="false">
      <c r="A4" s="21" t="s">
        <v>549</v>
      </c>
      <c r="B4" s="601"/>
      <c r="C4" s="21"/>
      <c r="D4" s="21"/>
      <c r="E4" s="21"/>
      <c r="F4" s="15"/>
      <c r="G4" s="15"/>
      <c r="J4" s="23"/>
    </row>
    <row r="5" customFormat="false" ht="13.5" hidden="false" customHeight="false" outlineLevel="0" collapsed="false"/>
    <row r="6" customFormat="false" ht="12.75" hidden="false" customHeight="false" outlineLevel="0" collapsed="false">
      <c r="A6" s="477" t="s">
        <v>550</v>
      </c>
      <c r="B6" s="26"/>
      <c r="C6" s="602"/>
      <c r="D6" s="603"/>
      <c r="F6" s="361" t="s">
        <v>551</v>
      </c>
      <c r="G6" s="474"/>
      <c r="H6" s="474"/>
      <c r="I6" s="474"/>
      <c r="J6" s="474"/>
      <c r="K6" s="28"/>
    </row>
    <row r="7" customFormat="false" ht="12.75" hidden="false" customHeight="false" outlineLevel="0" collapsed="false">
      <c r="A7" s="186"/>
      <c r="B7" s="182"/>
      <c r="C7" s="604" t="s">
        <v>552</v>
      </c>
      <c r="D7" s="605" t="s">
        <v>552</v>
      </c>
      <c r="F7" s="363"/>
      <c r="G7" s="47"/>
      <c r="H7" s="606"/>
      <c r="I7" s="606"/>
      <c r="J7" s="606"/>
      <c r="K7" s="607"/>
    </row>
    <row r="8" customFormat="false" ht="12.75" hidden="false" customHeight="false" outlineLevel="0" collapsed="false">
      <c r="A8" s="186"/>
      <c r="B8" s="182"/>
      <c r="C8" s="608" t="s">
        <v>553</v>
      </c>
      <c r="D8" s="609" t="s">
        <v>554</v>
      </c>
      <c r="F8" s="114" t="s">
        <v>555</v>
      </c>
      <c r="G8" s="610"/>
      <c r="H8" s="611" t="s">
        <v>556</v>
      </c>
      <c r="I8" s="611" t="s">
        <v>557</v>
      </c>
      <c r="J8" s="611" t="s">
        <v>558</v>
      </c>
      <c r="K8" s="612" t="s">
        <v>559</v>
      </c>
    </row>
    <row r="9" customFormat="false" ht="12.75" hidden="false" customHeight="false" outlineLevel="0" collapsed="false">
      <c r="A9" s="37" t="s">
        <v>560</v>
      </c>
      <c r="B9" s="39"/>
      <c r="C9" s="98" t="n">
        <v>1096.001</v>
      </c>
      <c r="D9" s="71" t="n">
        <v>1096.001</v>
      </c>
      <c r="F9" s="37" t="s">
        <v>561</v>
      </c>
      <c r="G9" s="39"/>
      <c r="H9" s="613" t="n">
        <v>0</v>
      </c>
      <c r="I9" s="614" t="n">
        <v>1</v>
      </c>
      <c r="J9" s="174" t="n">
        <f aca="false">D13</f>
        <v>30763.082</v>
      </c>
      <c r="K9" s="280" t="n">
        <f aca="false">J9*I9*H9</f>
        <v>0</v>
      </c>
    </row>
    <row r="10" customFormat="false" ht="12.75" hidden="false" customHeight="false" outlineLevel="0" collapsed="false">
      <c r="A10" s="37" t="s">
        <v>562</v>
      </c>
      <c r="B10" s="39"/>
      <c r="C10" s="98" t="n">
        <v>1274.931</v>
      </c>
      <c r="D10" s="71" t="n">
        <v>1274.931</v>
      </c>
      <c r="F10" s="37" t="s">
        <v>563</v>
      </c>
      <c r="G10" s="39"/>
      <c r="H10" s="366" t="n">
        <f aca="false">Wh_Serv/(1-Wh_Serv)</f>
        <v>0.176470588235294</v>
      </c>
      <c r="I10" s="614" t="n">
        <v>1</v>
      </c>
      <c r="J10" s="174" t="n">
        <f aca="false">D14</f>
        <v>74.342</v>
      </c>
      <c r="K10" s="280" t="n">
        <f aca="false">J10*I10*H10</f>
        <v>13.1191764705882</v>
      </c>
      <c r="L10" s="39"/>
    </row>
    <row r="11" customFormat="false" ht="12.75" hidden="false" customHeight="false" outlineLevel="0" collapsed="false">
      <c r="A11" s="37" t="s">
        <v>564</v>
      </c>
      <c r="B11" s="39"/>
      <c r="C11" s="98" t="n">
        <v>25176.376</v>
      </c>
      <c r="D11" s="71" t="n">
        <v>25176.376</v>
      </c>
      <c r="F11" s="37" t="s">
        <v>565</v>
      </c>
      <c r="G11" s="39"/>
      <c r="H11" s="366" t="n">
        <f aca="false">Wh_Serv/(1-Wh_Serv)</f>
        <v>0.176470588235294</v>
      </c>
      <c r="I11" s="614" t="n">
        <v>1</v>
      </c>
      <c r="J11" s="174" t="n">
        <f aca="false">D15</f>
        <v>558.621</v>
      </c>
      <c r="K11" s="280" t="n">
        <f aca="false">J11*I11*H11</f>
        <v>98.5801764705882</v>
      </c>
      <c r="L11" s="39"/>
    </row>
    <row r="12" customFormat="false" ht="12.75" hidden="false" customHeight="false" outlineLevel="0" collapsed="false">
      <c r="A12" s="37" t="s">
        <v>566</v>
      </c>
      <c r="B12" s="39"/>
      <c r="C12" s="98" t="n">
        <v>1398.227</v>
      </c>
      <c r="D12" s="71" t="n">
        <v>1398.227</v>
      </c>
      <c r="F12" s="37" t="s">
        <v>567</v>
      </c>
      <c r="G12" s="39"/>
      <c r="H12" s="366" t="n">
        <f aca="false">Wh_Serv/(1-Wh_Serv)</f>
        <v>0.176470588235294</v>
      </c>
      <c r="I12" s="614" t="n">
        <v>1</v>
      </c>
      <c r="J12" s="174" t="n">
        <f aca="false">D16</f>
        <v>834.362</v>
      </c>
      <c r="K12" s="280" t="n">
        <f aca="false">J12*I12*H12</f>
        <v>147.240352941176</v>
      </c>
    </row>
    <row r="13" customFormat="false" ht="12.75" hidden="false" customHeight="false" outlineLevel="0" collapsed="false">
      <c r="A13" s="37" t="s">
        <v>568</v>
      </c>
      <c r="B13" s="39"/>
      <c r="C13" s="98" t="n">
        <v>30763.082</v>
      </c>
      <c r="D13" s="71" t="n">
        <v>30763.082</v>
      </c>
      <c r="F13" s="37" t="s">
        <v>569</v>
      </c>
      <c r="G13" s="39"/>
      <c r="H13" s="366" t="n">
        <f aca="false">Wh_Serv/(1-Wh_Serv)</f>
        <v>0.176470588235294</v>
      </c>
      <c r="I13" s="614" t="n">
        <v>1</v>
      </c>
      <c r="J13" s="174" t="n">
        <f aca="false">D17</f>
        <v>6.594</v>
      </c>
      <c r="K13" s="615" t="n">
        <f aca="false">J13*I13*H13</f>
        <v>1.16364705882353</v>
      </c>
    </row>
    <row r="14" customFormat="false" ht="12.75" hidden="false" customHeight="false" outlineLevel="0" collapsed="false">
      <c r="A14" s="37" t="s">
        <v>563</v>
      </c>
      <c r="B14" s="39"/>
      <c r="C14" s="98" t="n">
        <v>74.342</v>
      </c>
      <c r="D14" s="71" t="n">
        <v>74.342</v>
      </c>
      <c r="F14" s="37"/>
      <c r="G14" s="38" t="s">
        <v>570</v>
      </c>
      <c r="H14" s="47"/>
      <c r="I14" s="47"/>
      <c r="J14" s="174"/>
      <c r="K14" s="616" t="n">
        <f aca="false">SUM(K9:K13)</f>
        <v>260.103352941176</v>
      </c>
    </row>
    <row r="15" customFormat="false" ht="12.75" hidden="false" customHeight="false" outlineLevel="0" collapsed="false">
      <c r="A15" s="37" t="s">
        <v>565</v>
      </c>
      <c r="B15" s="39"/>
      <c r="C15" s="98" t="n">
        <v>558.621</v>
      </c>
      <c r="D15" s="71" t="n">
        <v>558.621</v>
      </c>
      <c r="F15" s="37"/>
      <c r="G15" s="39"/>
      <c r="H15" s="39"/>
      <c r="I15" s="39"/>
      <c r="J15" s="39"/>
      <c r="K15" s="44"/>
    </row>
    <row r="16" customFormat="false" ht="12.75" hidden="false" customHeight="false" outlineLevel="0" collapsed="false">
      <c r="A16" s="37" t="s">
        <v>567</v>
      </c>
      <c r="B16" s="39"/>
      <c r="C16" s="98" t="n">
        <v>834.362</v>
      </c>
      <c r="D16" s="71" t="n">
        <v>834.362</v>
      </c>
      <c r="F16" s="114" t="s">
        <v>571</v>
      </c>
      <c r="G16" s="610"/>
      <c r="H16" s="39"/>
      <c r="I16" s="39"/>
      <c r="J16" s="39"/>
      <c r="K16" s="65"/>
    </row>
    <row r="17" customFormat="false" ht="12.75" hidden="false" customHeight="false" outlineLevel="0" collapsed="false">
      <c r="A17" s="37" t="s">
        <v>569</v>
      </c>
      <c r="B17" s="39"/>
      <c r="C17" s="98" t="n">
        <v>6.594</v>
      </c>
      <c r="D17" s="71" t="n">
        <v>6.594</v>
      </c>
      <c r="F17" s="37" t="s">
        <v>572</v>
      </c>
      <c r="G17" s="39"/>
      <c r="H17" s="366" t="n">
        <f aca="false">Assm!$J$22*0</f>
        <v>0</v>
      </c>
      <c r="I17" s="614" t="n">
        <v>1</v>
      </c>
      <c r="J17" s="61" t="n">
        <f aca="false">$D$11</f>
        <v>25176.376</v>
      </c>
      <c r="K17" s="65" t="n">
        <f aca="false">J17*I17*H17</f>
        <v>0</v>
      </c>
    </row>
    <row r="18" customFormat="false" ht="12.75" hidden="false" customHeight="false" outlineLevel="0" collapsed="false">
      <c r="A18" s="37" t="s">
        <v>573</v>
      </c>
      <c r="B18" s="39"/>
      <c r="C18" s="617" t="n">
        <v>4888.2</v>
      </c>
      <c r="D18" s="111" t="n">
        <v>4888.2</v>
      </c>
      <c r="F18" s="37" t="s">
        <v>574</v>
      </c>
      <c r="G18" s="39"/>
      <c r="H18" s="366" t="n">
        <f aca="false">Assm!$J$22*0</f>
        <v>0</v>
      </c>
      <c r="I18" s="614" t="n">
        <v>1</v>
      </c>
      <c r="J18" s="61" t="n">
        <f aca="false">$D$12</f>
        <v>1398.227</v>
      </c>
      <c r="K18" s="65" t="n">
        <f aca="false">J18*I18*H18</f>
        <v>0</v>
      </c>
    </row>
    <row r="19" customFormat="false" ht="12.75" hidden="false" customHeight="false" outlineLevel="0" collapsed="false">
      <c r="A19" s="37" t="s">
        <v>575</v>
      </c>
      <c r="B19" s="39"/>
      <c r="C19" s="61" t="n">
        <f aca="false">SUM(C9:C18)</f>
        <v>66070.736</v>
      </c>
      <c r="D19" s="65" t="n">
        <f aca="false">SUM(D9:D18)</f>
        <v>66070.736</v>
      </c>
      <c r="F19" s="37" t="s">
        <v>576</v>
      </c>
      <c r="G19" s="39"/>
      <c r="H19" s="366" t="n">
        <f aca="false">Assm!$J$22*0</f>
        <v>0</v>
      </c>
      <c r="I19" s="614" t="n">
        <v>1</v>
      </c>
      <c r="J19" s="61" t="n">
        <f aca="false">K36</f>
        <v>569.078389</v>
      </c>
      <c r="K19" s="65" t="n">
        <f aca="false">J19*I19*H19</f>
        <v>0</v>
      </c>
    </row>
    <row r="20" customFormat="false" ht="12.75" hidden="false" customHeight="false" outlineLevel="0" collapsed="false">
      <c r="A20" s="37" t="s">
        <v>577</v>
      </c>
      <c r="B20" s="39"/>
      <c r="C20" s="617" t="n">
        <v>342.399</v>
      </c>
      <c r="D20" s="78" t="n">
        <f aca="false">K38</f>
        <v>1479.18174194118</v>
      </c>
      <c r="F20" s="37" t="s">
        <v>578</v>
      </c>
      <c r="G20" s="39"/>
      <c r="H20" s="39"/>
      <c r="I20" s="105" t="s">
        <v>579</v>
      </c>
      <c r="J20" s="39"/>
      <c r="K20" s="111" t="n">
        <v>650</v>
      </c>
    </row>
    <row r="21" customFormat="false" ht="13.5" hidden="false" customHeight="false" outlineLevel="0" collapsed="false">
      <c r="A21" s="175" t="s">
        <v>580</v>
      </c>
      <c r="B21" s="22"/>
      <c r="C21" s="618" t="n">
        <f aca="false">SUM(C19:C20)</f>
        <v>66413.135</v>
      </c>
      <c r="D21" s="619" t="n">
        <f aca="false">SUM(D19:D20)</f>
        <v>67549.9177419412</v>
      </c>
      <c r="F21" s="37"/>
      <c r="G21" s="38" t="s">
        <v>581</v>
      </c>
      <c r="H21" s="39"/>
      <c r="I21" s="39"/>
      <c r="J21" s="39"/>
      <c r="K21" s="620" t="n">
        <f aca="false">SUM(K17:K20)</f>
        <v>650</v>
      </c>
    </row>
    <row r="22" customFormat="false" ht="13.5" hidden="false" customHeight="false" outlineLevel="0" collapsed="false">
      <c r="F22" s="37"/>
      <c r="G22" s="39"/>
      <c r="H22" s="366"/>
      <c r="I22" s="366"/>
      <c r="J22" s="39"/>
      <c r="K22" s="44"/>
    </row>
    <row r="23" customFormat="false" ht="12.75" hidden="false" customHeight="false" outlineLevel="0" collapsed="false">
      <c r="A23" s="477" t="s">
        <v>582</v>
      </c>
      <c r="B23" s="26"/>
      <c r="C23" s="602"/>
      <c r="D23" s="603"/>
      <c r="F23" s="114" t="s">
        <v>583</v>
      </c>
      <c r="G23" s="610"/>
      <c r="H23" s="39"/>
      <c r="I23" s="39"/>
      <c r="J23" s="61"/>
      <c r="K23" s="65"/>
    </row>
    <row r="24" customFormat="false" ht="12.75" hidden="false" customHeight="false" outlineLevel="0" collapsed="false">
      <c r="A24" s="186"/>
      <c r="B24" s="182"/>
      <c r="C24" s="84"/>
      <c r="D24" s="621"/>
      <c r="F24" s="622" t="s">
        <v>584</v>
      </c>
      <c r="G24" s="623"/>
      <c r="H24" s="39"/>
      <c r="I24" s="39"/>
      <c r="J24" s="61"/>
      <c r="K24" s="65"/>
    </row>
    <row r="25" customFormat="false" ht="12.75" hidden="false" customHeight="false" outlineLevel="0" collapsed="false">
      <c r="A25" s="37" t="s">
        <v>585</v>
      </c>
      <c r="B25" s="39"/>
      <c r="C25" s="84"/>
      <c r="D25" s="71" t="n">
        <v>37.214</v>
      </c>
      <c r="F25" s="37"/>
      <c r="G25" s="39" t="s">
        <v>572</v>
      </c>
      <c r="H25" s="613" t="n">
        <v>0</v>
      </c>
      <c r="I25" s="614" t="n">
        <v>1</v>
      </c>
      <c r="J25" s="61" t="n">
        <f aca="false">$D$11</f>
        <v>25176.376</v>
      </c>
      <c r="K25" s="65" t="n">
        <f aca="false">J25*I25*H25</f>
        <v>0</v>
      </c>
    </row>
    <row r="26" customFormat="false" ht="12.75" hidden="false" customHeight="false" outlineLevel="0" collapsed="false">
      <c r="A26" s="37" t="s">
        <v>586</v>
      </c>
      <c r="B26" s="39"/>
      <c r="C26" s="84"/>
      <c r="D26" s="71" t="n">
        <v>123.453</v>
      </c>
      <c r="F26" s="37"/>
      <c r="G26" s="39" t="s">
        <v>566</v>
      </c>
      <c r="H26" s="366" t="n">
        <f aca="false">Assm!$J$25</f>
        <v>0.17</v>
      </c>
      <c r="I26" s="614" t="n">
        <v>1</v>
      </c>
      <c r="J26" s="61" t="n">
        <f aca="false">$D$12</f>
        <v>1398.227</v>
      </c>
      <c r="K26" s="201" t="n">
        <f aca="false">J26*I26*H26</f>
        <v>237.69859</v>
      </c>
    </row>
    <row r="27" customFormat="false" ht="12.75" hidden="false" customHeight="false" outlineLevel="0" collapsed="false">
      <c r="A27" s="37" t="s">
        <v>587</v>
      </c>
      <c r="B27" s="39"/>
      <c r="C27" s="84"/>
      <c r="D27" s="71" t="n">
        <v>180</v>
      </c>
      <c r="F27" s="37"/>
      <c r="G27" s="39" t="s">
        <v>588</v>
      </c>
      <c r="H27" s="158"/>
      <c r="I27" s="624"/>
      <c r="J27" s="61"/>
      <c r="K27" s="65" t="n">
        <f aca="false">SUM(K25:K26)</f>
        <v>237.69859</v>
      </c>
    </row>
    <row r="28" customFormat="false" ht="12.75" hidden="false" customHeight="false" outlineLevel="0" collapsed="false">
      <c r="A28" s="37" t="s">
        <v>589</v>
      </c>
      <c r="B28" s="39"/>
      <c r="C28" s="84"/>
      <c r="D28" s="71" t="n">
        <v>66.15</v>
      </c>
      <c r="F28" s="622" t="s">
        <v>590</v>
      </c>
      <c r="G28" s="625"/>
      <c r="H28" s="158"/>
      <c r="I28" s="624"/>
      <c r="J28" s="61"/>
      <c r="K28" s="65"/>
    </row>
    <row r="29" customFormat="false" ht="12.75" hidden="false" customHeight="false" outlineLevel="0" collapsed="false">
      <c r="A29" s="37" t="s">
        <v>591</v>
      </c>
      <c r="B29" s="39"/>
      <c r="C29" s="84"/>
      <c r="D29" s="71" t="n">
        <v>47.72</v>
      </c>
      <c r="F29" s="37"/>
      <c r="G29" s="39" t="s">
        <v>572</v>
      </c>
      <c r="H29" s="613" t="n">
        <v>0</v>
      </c>
      <c r="I29" s="614" t="n">
        <v>1</v>
      </c>
      <c r="J29" s="61" t="n">
        <f aca="false">$D$11</f>
        <v>25176.376</v>
      </c>
      <c r="K29" s="65" t="n">
        <f aca="false">J29*I29*H29</f>
        <v>0</v>
      </c>
    </row>
    <row r="30" customFormat="false" ht="12.75" hidden="false" customHeight="false" outlineLevel="0" collapsed="false">
      <c r="A30" s="37" t="s">
        <v>592</v>
      </c>
      <c r="B30" s="39"/>
      <c r="C30" s="84"/>
      <c r="D30" s="71" t="n">
        <v>8.034</v>
      </c>
      <c r="F30" s="37"/>
      <c r="G30" s="39" t="s">
        <v>566</v>
      </c>
      <c r="H30" s="366" t="n">
        <f aca="false">Assm!$J$26</f>
        <v>0.15</v>
      </c>
      <c r="I30" s="614" t="n">
        <v>1</v>
      </c>
      <c r="J30" s="61" t="n">
        <f aca="false">$D$12</f>
        <v>1398.227</v>
      </c>
      <c r="K30" s="201" t="n">
        <f aca="false">J30*I30*H30</f>
        <v>209.73405</v>
      </c>
    </row>
    <row r="31" customFormat="false" ht="12.75" hidden="false" customHeight="false" outlineLevel="0" collapsed="false">
      <c r="A31" s="37" t="s">
        <v>593</v>
      </c>
      <c r="B31" s="39"/>
      <c r="C31" s="84"/>
      <c r="D31" s="71" t="n">
        <v>9.105</v>
      </c>
      <c r="F31" s="37"/>
      <c r="G31" s="39" t="s">
        <v>588</v>
      </c>
      <c r="H31" s="158"/>
      <c r="I31" s="624"/>
      <c r="J31" s="61"/>
      <c r="K31" s="65" t="n">
        <f aca="false">SUM(K29:K30)</f>
        <v>209.73405</v>
      </c>
    </row>
    <row r="32" customFormat="false" ht="12.75" hidden="false" customHeight="false" outlineLevel="0" collapsed="false">
      <c r="A32" s="37" t="s">
        <v>594</v>
      </c>
      <c r="B32" s="39"/>
      <c r="C32" s="84"/>
      <c r="D32" s="71" t="n">
        <v>5.284</v>
      </c>
      <c r="F32" s="622" t="s">
        <v>595</v>
      </c>
      <c r="G32" s="625"/>
      <c r="H32" s="158"/>
      <c r="I32" s="624"/>
      <c r="J32" s="61"/>
      <c r="K32" s="65"/>
    </row>
    <row r="33" customFormat="false" ht="12.75" hidden="false" customHeight="false" outlineLevel="0" collapsed="false">
      <c r="A33" s="37" t="s">
        <v>596</v>
      </c>
      <c r="B33" s="39"/>
      <c r="C33" s="84"/>
      <c r="D33" s="71" t="n">
        <v>7.383</v>
      </c>
      <c r="F33" s="37"/>
      <c r="G33" s="39" t="s">
        <v>572</v>
      </c>
      <c r="H33" s="613" t="n">
        <v>0</v>
      </c>
      <c r="I33" s="614" t="n">
        <v>1</v>
      </c>
      <c r="J33" s="61" t="n">
        <f aca="false">$D$11</f>
        <v>25176.376</v>
      </c>
      <c r="K33" s="65" t="n">
        <f aca="false">J33*I33*H33</f>
        <v>0</v>
      </c>
    </row>
    <row r="34" customFormat="false" ht="12.75" hidden="false" customHeight="false" outlineLevel="0" collapsed="false">
      <c r="A34" s="37" t="s">
        <v>597</v>
      </c>
      <c r="B34" s="39"/>
      <c r="C34" s="84"/>
      <c r="D34" s="71" t="n">
        <v>32.128</v>
      </c>
      <c r="F34" s="37"/>
      <c r="G34" s="39" t="s">
        <v>566</v>
      </c>
      <c r="H34" s="366" t="n">
        <f aca="false">Assm!$J$27</f>
        <v>0.087</v>
      </c>
      <c r="I34" s="614" t="n">
        <v>1</v>
      </c>
      <c r="J34" s="61" t="n">
        <f aca="false">$D$12</f>
        <v>1398.227</v>
      </c>
      <c r="K34" s="201" t="n">
        <f aca="false">J34*I34*H34</f>
        <v>121.645749</v>
      </c>
    </row>
    <row r="35" customFormat="false" ht="12.75" hidden="false" customHeight="false" outlineLevel="0" collapsed="false">
      <c r="A35" s="37" t="s">
        <v>598</v>
      </c>
      <c r="B35" s="39"/>
      <c r="C35" s="84"/>
      <c r="D35" s="71" t="n">
        <v>19.01</v>
      </c>
      <c r="F35" s="37"/>
      <c r="G35" s="39" t="s">
        <v>588</v>
      </c>
      <c r="H35" s="158"/>
      <c r="I35" s="624"/>
      <c r="J35" s="61"/>
      <c r="K35" s="65" t="n">
        <f aca="false">SUM(K33:K34)</f>
        <v>121.645749</v>
      </c>
    </row>
    <row r="36" customFormat="false" ht="12.75" hidden="false" customHeight="false" outlineLevel="0" collapsed="false">
      <c r="A36" s="37" t="s">
        <v>599</v>
      </c>
      <c r="B36" s="39"/>
      <c r="C36" s="84"/>
      <c r="D36" s="71" t="n">
        <v>9.535</v>
      </c>
      <c r="F36" s="37"/>
      <c r="G36" s="38" t="s">
        <v>600</v>
      </c>
      <c r="H36" s="158"/>
      <c r="I36" s="624"/>
      <c r="J36" s="61"/>
      <c r="K36" s="620" t="n">
        <f aca="false">SUM(K27,K31,K35)</f>
        <v>569.078389</v>
      </c>
    </row>
    <row r="37" customFormat="false" ht="12.75" hidden="false" customHeight="false" outlineLevel="0" collapsed="false">
      <c r="A37" s="37" t="s">
        <v>601</v>
      </c>
      <c r="B37" s="39"/>
      <c r="C37" s="84"/>
      <c r="D37" s="71" t="n">
        <v>125.999</v>
      </c>
      <c r="F37" s="37"/>
      <c r="G37" s="39"/>
      <c r="H37" s="39"/>
      <c r="I37" s="39"/>
      <c r="J37" s="39"/>
      <c r="K37" s="44"/>
    </row>
    <row r="38" customFormat="false" ht="13.5" hidden="false" customHeight="false" outlineLevel="0" collapsed="false">
      <c r="A38" s="37" t="s">
        <v>602</v>
      </c>
      <c r="B38" s="39"/>
      <c r="C38" s="84"/>
      <c r="D38" s="71" t="n">
        <v>693</v>
      </c>
      <c r="F38" s="626" t="s">
        <v>603</v>
      </c>
      <c r="G38" s="627"/>
      <c r="H38" s="627"/>
      <c r="I38" s="627"/>
      <c r="J38" s="627"/>
      <c r="K38" s="628" t="n">
        <f aca="false">SUM(K14,K21,K36)</f>
        <v>1479.18174194118</v>
      </c>
    </row>
    <row r="39" customFormat="false" ht="12.75" hidden="false" customHeight="false" outlineLevel="0" collapsed="false">
      <c r="A39" s="37" t="s">
        <v>604</v>
      </c>
      <c r="B39" s="39"/>
      <c r="C39" s="84"/>
      <c r="D39" s="71" t="n">
        <v>1260</v>
      </c>
    </row>
    <row r="40" customFormat="false" ht="12.75" hidden="false" customHeight="false" outlineLevel="0" collapsed="false">
      <c r="A40" s="37" t="s">
        <v>605</v>
      </c>
      <c r="B40" s="39"/>
      <c r="C40" s="84"/>
      <c r="D40" s="71" t="n">
        <v>1310.4</v>
      </c>
    </row>
    <row r="41" customFormat="false" ht="12.75" hidden="false" customHeight="false" outlineLevel="0" collapsed="false">
      <c r="A41" s="37" t="s">
        <v>606</v>
      </c>
      <c r="B41" s="39"/>
      <c r="C41" s="84"/>
      <c r="D41" s="71" t="n">
        <v>1319.247</v>
      </c>
      <c r="G41" s="629"/>
    </row>
    <row r="42" customFormat="false" ht="12.75" hidden="false" customHeight="false" outlineLevel="0" collapsed="false">
      <c r="A42" s="37" t="s">
        <v>607</v>
      </c>
      <c r="B42" s="39"/>
      <c r="C42" s="84"/>
      <c r="D42" s="71" t="n">
        <v>455.7</v>
      </c>
      <c r="G42" s="629"/>
    </row>
    <row r="43" customFormat="false" ht="12.75" hidden="false" customHeight="false" outlineLevel="0" collapsed="false">
      <c r="A43" s="37" t="s">
        <v>608</v>
      </c>
      <c r="B43" s="39"/>
      <c r="C43" s="84"/>
      <c r="D43" s="111" t="n">
        <v>-77.417</v>
      </c>
    </row>
    <row r="44" customFormat="false" ht="13.5" hidden="false" customHeight="false" outlineLevel="0" collapsed="false">
      <c r="A44" s="175" t="s">
        <v>609</v>
      </c>
      <c r="B44" s="22"/>
      <c r="C44" s="630"/>
      <c r="D44" s="619" t="n">
        <f aca="false">SUM(D25:D43)</f>
        <v>5631.945</v>
      </c>
    </row>
    <row r="45" customFormat="false" ht="13.5" hidden="false" customHeight="false" outlineLevel="0" collapsed="false"/>
    <row r="46" customFormat="false" ht="12.75" hidden="false" customHeight="false" outlineLevel="0" collapsed="false">
      <c r="A46" s="477" t="s">
        <v>61</v>
      </c>
      <c r="B46" s="26"/>
      <c r="C46" s="602"/>
      <c r="D46" s="603"/>
    </row>
    <row r="47" customFormat="false" ht="12.75" hidden="false" customHeight="false" outlineLevel="0" collapsed="false">
      <c r="A47" s="186"/>
      <c r="B47" s="631" t="s">
        <v>610</v>
      </c>
      <c r="C47" s="632" t="s">
        <v>611</v>
      </c>
      <c r="D47" s="633" t="s">
        <v>612</v>
      </c>
    </row>
    <row r="48" customFormat="false" ht="12.75" hidden="false" customHeight="false" outlineLevel="0" collapsed="false">
      <c r="A48" s="37" t="s">
        <v>613</v>
      </c>
      <c r="B48" s="617" t="n">
        <v>200.444</v>
      </c>
      <c r="C48" s="224" t="n">
        <v>1</v>
      </c>
      <c r="D48" s="78" t="n">
        <f aca="false">B48*C48</f>
        <v>200.444</v>
      </c>
    </row>
    <row r="49" customFormat="false" ht="13.5" hidden="false" customHeight="false" outlineLevel="0" collapsed="false">
      <c r="A49" s="175" t="s">
        <v>614</v>
      </c>
      <c r="B49" s="618" t="n">
        <f aca="false">SUM(B48)</f>
        <v>200.444</v>
      </c>
      <c r="C49" s="630"/>
      <c r="D49" s="619" t="n">
        <f aca="false">SUM(D48)</f>
        <v>200.444</v>
      </c>
    </row>
    <row r="50" customFormat="false" ht="13.5" hidden="false" customHeight="false" outlineLevel="0" collapsed="false"/>
    <row r="51" customFormat="false" ht="12.75" hidden="false" customHeight="false" outlineLevel="0" collapsed="false">
      <c r="A51" s="477" t="s">
        <v>615</v>
      </c>
      <c r="B51" s="26"/>
      <c r="C51" s="602"/>
      <c r="D51" s="603"/>
    </row>
    <row r="52" customFormat="false" ht="12.75" hidden="false" customHeight="false" outlineLevel="0" collapsed="false">
      <c r="A52" s="186"/>
      <c r="B52" s="182"/>
      <c r="C52" s="84"/>
      <c r="D52" s="621"/>
    </row>
    <row r="53" customFormat="false" ht="12.75" hidden="false" customHeight="false" outlineLevel="0" collapsed="false">
      <c r="A53" s="37" t="s">
        <v>616</v>
      </c>
      <c r="B53" s="39"/>
      <c r="C53" s="634"/>
      <c r="D53" s="71" t="n">
        <v>0</v>
      </c>
    </row>
    <row r="54" customFormat="false" ht="12.75" hidden="false" customHeight="false" outlineLevel="0" collapsed="false">
      <c r="A54" s="37" t="s">
        <v>617</v>
      </c>
      <c r="B54" s="39"/>
      <c r="C54" s="84"/>
      <c r="D54" s="71" t="n">
        <f aca="false">[1]RAROC!$C$119</f>
        <v>10499</v>
      </c>
      <c r="F54" s="629" t="n">
        <f aca="false">SUM(D54)</f>
        <v>10499</v>
      </c>
      <c r="G54" s="629"/>
    </row>
    <row r="55" customFormat="false" ht="12.75" hidden="false" customHeight="false" outlineLevel="0" collapsed="false">
      <c r="A55" s="37" t="s">
        <v>618</v>
      </c>
      <c r="B55" s="39"/>
      <c r="C55" s="84"/>
      <c r="D55" s="71" t="n">
        <v>5500</v>
      </c>
    </row>
    <row r="56" customFormat="false" ht="12.75" hidden="false" customHeight="false" outlineLevel="0" collapsed="false">
      <c r="A56" s="37" t="s">
        <v>619</v>
      </c>
      <c r="B56" s="39"/>
      <c r="C56" s="84"/>
      <c r="D56" s="111" t="n">
        <v>1000</v>
      </c>
    </row>
    <row r="57" customFormat="false" ht="13.5" hidden="false" customHeight="false" outlineLevel="0" collapsed="false">
      <c r="A57" s="175" t="s">
        <v>620</v>
      </c>
      <c r="B57" s="22"/>
      <c r="C57" s="630"/>
      <c r="D57" s="619" t="n">
        <f aca="false">SUM(D53:D56)</f>
        <v>16999</v>
      </c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6"/>
  <sheetViews>
    <sheetView showFormulas="false" showGridLines="false" showRowColHeaders="true" showZeros="true" rightToLeft="false" tabSelected="false" showOutlineSymbols="true" defaultGridColor="true" view="normal" topLeftCell="A6" colorId="64" zoomScale="80" zoomScaleNormal="80" zoomScalePageLayoutView="100" workbookViewId="0">
      <pane xSplit="3" ySplit="2" topLeftCell="D55" activePane="bottomRight" state="frozen"/>
      <selection pane="topLeft" activeCell="A6" activeCellId="0" sqref="A6"/>
      <selection pane="topRight" activeCell="D6" activeCellId="0" sqref="D6"/>
      <selection pane="bottomLeft" activeCell="A55" activeCellId="0" sqref="A55"/>
      <selection pane="bottomRight" activeCell="C85" activeCellId="0" sqref="C8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25.7"/>
    <col collapsed="false" customWidth="true" hidden="false" outlineLevel="0" max="3" min="3" style="1" width="10.71"/>
    <col collapsed="false" customWidth="true" hidden="false" outlineLevel="0" max="4" min="4" style="1" width="4.7"/>
    <col collapsed="false" customWidth="true" hidden="false" outlineLevel="0" max="19" min="5" style="1" width="9.7"/>
    <col collapsed="false" customWidth="true" hidden="false" outlineLevel="0" max="20" min="20" style="1" width="10.56"/>
    <col collapsed="false" customWidth="true" hidden="false" outlineLevel="0" max="40" min="21" style="1" width="9.7"/>
    <col collapsed="false" customWidth="true" hidden="false" outlineLevel="0" max="41" min="41" style="1" width="1.7"/>
    <col collapsed="false" customWidth="true" hidden="false" outlineLevel="0" max="42" min="42" style="1" width="10.71"/>
    <col collapsed="false" customWidth="false" hidden="false" outlineLevel="0" max="45" min="43" style="1" width="9.14"/>
    <col collapsed="false" customWidth="true" hidden="false" outlineLevel="0" max="52" min="46" style="1" width="10.71"/>
    <col collapsed="false" customWidth="false" hidden="false" outlineLevel="0" max="257" min="53" style="1" width="9.14"/>
  </cols>
  <sheetData>
    <row r="1" customFormat="false" ht="15.75" hidden="false" customHeight="false" outlineLevel="0" collapsed="false">
      <c r="A1" s="350" t="str">
        <f aca="false">Assm!A1</f>
        <v>GASOCIDENTE DO MATO GROSSO LTDA (GASMAT) *** DRAFT COPY ***</v>
      </c>
      <c r="B1" s="351"/>
      <c r="C1" s="15"/>
      <c r="D1" s="108"/>
      <c r="E1" s="469"/>
      <c r="F1" s="469"/>
      <c r="G1" s="469"/>
      <c r="H1" s="470"/>
      <c r="I1" s="469"/>
      <c r="J1" s="469"/>
      <c r="K1" s="471"/>
      <c r="L1" s="469"/>
      <c r="M1" s="469"/>
      <c r="N1" s="469"/>
      <c r="O1" s="469"/>
      <c r="P1" s="469"/>
      <c r="Q1" s="469"/>
      <c r="R1" s="469"/>
      <c r="S1" s="355"/>
      <c r="T1" s="469"/>
      <c r="U1" s="469"/>
      <c r="V1" s="469"/>
      <c r="W1" s="469"/>
      <c r="X1" s="469"/>
      <c r="Y1" s="469"/>
      <c r="Z1" s="116"/>
      <c r="AA1" s="116"/>
      <c r="AB1" s="108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</row>
    <row r="2" customFormat="false" ht="15.75" hidden="false" customHeight="false" outlineLevel="0" collapsed="false">
      <c r="A2" s="350" t="str">
        <f aca="false">Assm!A2</f>
        <v>257 KM PIPELINE SPUR FOR CUIABA POWER PLANT (BRAZIL)</v>
      </c>
      <c r="B2" s="351"/>
      <c r="C2" s="15"/>
      <c r="D2" s="108"/>
      <c r="E2" s="469"/>
      <c r="F2" s="469"/>
      <c r="G2" s="469"/>
      <c r="H2" s="470"/>
      <c r="I2" s="469"/>
      <c r="J2" s="469"/>
      <c r="K2" s="471"/>
      <c r="L2" s="469"/>
      <c r="M2" s="469"/>
      <c r="N2" s="469"/>
      <c r="O2" s="469"/>
      <c r="P2" s="469"/>
      <c r="Q2" s="469"/>
      <c r="R2" s="469"/>
      <c r="S2" s="355"/>
      <c r="T2" s="469"/>
      <c r="U2" s="469"/>
      <c r="V2" s="469"/>
      <c r="W2" s="469"/>
      <c r="X2" s="469"/>
      <c r="Y2" s="469"/>
      <c r="Z2" s="116"/>
      <c r="AA2" s="116"/>
      <c r="AB2" s="108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  <c r="AP2" s="352"/>
      <c r="AQ2" s="352"/>
      <c r="AR2" s="352"/>
      <c r="AS2" s="352"/>
      <c r="AT2" s="352"/>
      <c r="AU2" s="352"/>
      <c r="AV2" s="352"/>
      <c r="AW2" s="352"/>
      <c r="AX2" s="352"/>
      <c r="AY2" s="352"/>
      <c r="AZ2" s="352"/>
      <c r="BA2" s="352"/>
      <c r="BB2" s="352"/>
      <c r="BC2" s="352"/>
      <c r="BD2" s="352"/>
      <c r="BE2" s="352"/>
      <c r="BF2" s="352"/>
      <c r="BG2" s="352"/>
      <c r="BH2" s="352"/>
      <c r="BI2" s="352"/>
      <c r="BJ2" s="352"/>
      <c r="BK2" s="352"/>
      <c r="BL2" s="352"/>
      <c r="BM2" s="352"/>
      <c r="BN2" s="352"/>
      <c r="BO2" s="352"/>
      <c r="BP2" s="352"/>
      <c r="BQ2" s="352"/>
      <c r="BR2" s="352"/>
      <c r="BS2" s="352"/>
      <c r="BT2" s="352"/>
      <c r="BU2" s="352"/>
      <c r="BV2" s="352"/>
      <c r="BW2" s="352"/>
      <c r="BX2" s="352"/>
      <c r="BY2" s="352"/>
      <c r="BZ2" s="352"/>
      <c r="CA2" s="352"/>
      <c r="CB2" s="352"/>
      <c r="CC2" s="352"/>
      <c r="CD2" s="352"/>
      <c r="CE2" s="352"/>
      <c r="CF2" s="352"/>
      <c r="CG2" s="352"/>
      <c r="CH2" s="352"/>
      <c r="CI2" s="352"/>
      <c r="CJ2" s="352"/>
      <c r="CK2" s="352"/>
      <c r="CL2" s="352"/>
      <c r="CM2" s="352"/>
      <c r="CN2" s="352"/>
      <c r="CO2" s="352"/>
      <c r="CP2" s="352"/>
      <c r="CQ2" s="352"/>
      <c r="CR2" s="352"/>
      <c r="CS2" s="352"/>
      <c r="CT2" s="352"/>
      <c r="CU2" s="352"/>
      <c r="CV2" s="352"/>
      <c r="CW2" s="352"/>
      <c r="CX2" s="352"/>
      <c r="CY2" s="352"/>
      <c r="CZ2" s="352"/>
      <c r="DA2" s="352"/>
      <c r="DB2" s="352"/>
      <c r="DC2" s="352"/>
      <c r="DD2" s="352"/>
      <c r="DE2" s="352"/>
      <c r="DF2" s="352"/>
      <c r="DG2" s="352"/>
      <c r="DH2" s="352"/>
      <c r="DI2" s="352"/>
      <c r="DJ2" s="352"/>
      <c r="DK2" s="352"/>
      <c r="DL2" s="352"/>
      <c r="DM2" s="352"/>
      <c r="DN2" s="352"/>
      <c r="DO2" s="352"/>
      <c r="DP2" s="352"/>
      <c r="DQ2" s="352"/>
      <c r="DR2" s="352"/>
      <c r="DS2" s="352"/>
      <c r="DT2" s="352"/>
      <c r="DU2" s="352"/>
      <c r="DV2" s="352"/>
      <c r="DW2" s="352"/>
      <c r="DX2" s="352"/>
      <c r="DY2" s="352"/>
      <c r="DZ2" s="352"/>
      <c r="EA2" s="352"/>
      <c r="EB2" s="352"/>
      <c r="EC2" s="352"/>
      <c r="ED2" s="352"/>
      <c r="EE2" s="352"/>
      <c r="EF2" s="352"/>
      <c r="EG2" s="352"/>
      <c r="EH2" s="352"/>
      <c r="EI2" s="352"/>
      <c r="EJ2" s="352"/>
      <c r="EK2" s="352"/>
      <c r="EL2" s="352"/>
      <c r="EM2" s="352"/>
      <c r="EN2" s="352"/>
      <c r="EO2" s="352"/>
      <c r="EP2" s="352"/>
      <c r="EQ2" s="352"/>
      <c r="ER2" s="352"/>
      <c r="ES2" s="352"/>
      <c r="ET2" s="352"/>
      <c r="EU2" s="352"/>
      <c r="EV2" s="352"/>
      <c r="EW2" s="352"/>
      <c r="EX2" s="352"/>
      <c r="EY2" s="352"/>
      <c r="EZ2" s="352"/>
      <c r="FA2" s="352"/>
      <c r="FB2" s="352"/>
      <c r="FC2" s="352"/>
      <c r="FD2" s="352"/>
      <c r="FE2" s="352"/>
      <c r="FF2" s="352"/>
      <c r="FG2" s="352"/>
      <c r="FH2" s="352"/>
      <c r="FI2" s="352"/>
      <c r="FJ2" s="352"/>
      <c r="FK2" s="352"/>
      <c r="FL2" s="352"/>
      <c r="FM2" s="352"/>
      <c r="FN2" s="352"/>
      <c r="FO2" s="352"/>
      <c r="FP2" s="352"/>
      <c r="FQ2" s="352"/>
      <c r="FR2" s="352"/>
      <c r="FS2" s="352"/>
      <c r="FT2" s="352"/>
      <c r="FU2" s="352"/>
      <c r="FV2" s="352"/>
      <c r="FW2" s="352"/>
      <c r="FX2" s="352"/>
      <c r="FY2" s="352"/>
      <c r="FZ2" s="352"/>
      <c r="GA2" s="352"/>
      <c r="GB2" s="352"/>
      <c r="GC2" s="352"/>
      <c r="GD2" s="352"/>
      <c r="GE2" s="352"/>
      <c r="GF2" s="352"/>
      <c r="GG2" s="352"/>
      <c r="GH2" s="352"/>
      <c r="GI2" s="352"/>
      <c r="GJ2" s="352"/>
      <c r="GK2" s="352"/>
      <c r="GL2" s="352"/>
      <c r="GM2" s="352"/>
      <c r="GN2" s="352"/>
      <c r="GO2" s="352"/>
      <c r="GP2" s="352"/>
      <c r="GQ2" s="352"/>
      <c r="GR2" s="352"/>
      <c r="GS2" s="352"/>
      <c r="GT2" s="352"/>
      <c r="GU2" s="352"/>
      <c r="GV2" s="352"/>
      <c r="GW2" s="352"/>
      <c r="GX2" s="352"/>
      <c r="GY2" s="352"/>
      <c r="GZ2" s="352"/>
      <c r="HA2" s="352"/>
      <c r="HB2" s="352"/>
      <c r="HC2" s="352"/>
      <c r="HD2" s="352"/>
      <c r="HE2" s="352"/>
      <c r="HF2" s="352"/>
      <c r="HG2" s="352"/>
      <c r="HH2" s="352"/>
      <c r="HI2" s="352"/>
      <c r="HJ2" s="352"/>
      <c r="HK2" s="352"/>
      <c r="HL2" s="352"/>
      <c r="HM2" s="352"/>
      <c r="HN2" s="352"/>
      <c r="HO2" s="352"/>
      <c r="HP2" s="352"/>
      <c r="HQ2" s="352"/>
      <c r="HR2" s="352"/>
      <c r="HS2" s="352"/>
      <c r="HT2" s="352"/>
      <c r="HU2" s="352"/>
      <c r="HV2" s="352"/>
      <c r="HW2" s="352"/>
      <c r="HX2" s="352"/>
      <c r="HY2" s="352"/>
      <c r="HZ2" s="352"/>
      <c r="IA2" s="352"/>
      <c r="IB2" s="352"/>
      <c r="IC2" s="352"/>
      <c r="ID2" s="352"/>
      <c r="IE2" s="352"/>
      <c r="IF2" s="352"/>
      <c r="IG2" s="352"/>
      <c r="IH2" s="352"/>
      <c r="II2" s="352"/>
      <c r="IJ2" s="352"/>
      <c r="IK2" s="352"/>
      <c r="IL2" s="352"/>
      <c r="IM2" s="352"/>
      <c r="IN2" s="352"/>
      <c r="IO2" s="352"/>
      <c r="IP2" s="352"/>
      <c r="IQ2" s="352"/>
      <c r="IR2" s="352"/>
      <c r="IS2" s="352"/>
      <c r="IT2" s="352"/>
      <c r="IU2" s="352"/>
      <c r="IV2" s="352"/>
      <c r="IW2" s="352"/>
    </row>
    <row r="3" customFormat="false" ht="15.75" hidden="false" customHeight="false" outlineLevel="0" collapsed="false">
      <c r="A3" s="356" t="str">
        <f aca="false">Assm!A3</f>
        <v>ENRON INTERNATIONAL</v>
      </c>
      <c r="B3" s="356"/>
      <c r="C3" s="15"/>
      <c r="D3" s="108"/>
      <c r="E3" s="469"/>
      <c r="F3" s="472"/>
      <c r="G3" s="469"/>
      <c r="H3" s="470"/>
      <c r="I3" s="469"/>
      <c r="J3" s="469"/>
      <c r="K3" s="471"/>
      <c r="L3" s="469"/>
      <c r="M3" s="469"/>
      <c r="N3" s="469"/>
      <c r="O3" s="469"/>
      <c r="P3" s="469"/>
      <c r="Q3" s="469"/>
      <c r="R3" s="469"/>
      <c r="S3" s="469"/>
      <c r="T3" s="473"/>
      <c r="U3" s="473"/>
      <c r="V3" s="469"/>
      <c r="W3" s="469"/>
      <c r="X3" s="469"/>
      <c r="Y3" s="469"/>
      <c r="Z3" s="116"/>
      <c r="AA3" s="116"/>
      <c r="AB3" s="108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  <c r="IM3" s="352"/>
      <c r="IN3" s="352"/>
      <c r="IO3" s="352"/>
      <c r="IP3" s="352"/>
      <c r="IQ3" s="352"/>
      <c r="IR3" s="352"/>
      <c r="IS3" s="352"/>
      <c r="IT3" s="352"/>
      <c r="IU3" s="352"/>
      <c r="IV3" s="352"/>
      <c r="IW3" s="352"/>
    </row>
    <row r="4" customFormat="false" ht="15.75" hidden="false" customHeight="false" outlineLevel="0" collapsed="false">
      <c r="A4" s="21" t="s">
        <v>621</v>
      </c>
      <c r="B4" s="21"/>
      <c r="C4" s="522"/>
      <c r="D4" s="108"/>
      <c r="E4" s="469"/>
      <c r="F4" s="472"/>
      <c r="G4" s="469"/>
      <c r="H4" s="470"/>
      <c r="I4" s="469"/>
      <c r="J4" s="469"/>
      <c r="K4" s="471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116"/>
      <c r="AA4" s="116"/>
      <c r="AB4" s="108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  <c r="IM4" s="352"/>
      <c r="IN4" s="352"/>
      <c r="IO4" s="352"/>
      <c r="IP4" s="352"/>
      <c r="IQ4" s="352"/>
      <c r="IR4" s="352"/>
      <c r="IS4" s="352"/>
      <c r="IT4" s="352"/>
      <c r="IU4" s="352"/>
      <c r="IV4" s="352"/>
      <c r="IW4" s="352"/>
    </row>
    <row r="5" customFormat="false" ht="13.5" hidden="false" customHeight="false" outlineLevel="0" collapsed="false">
      <c r="A5" s="108"/>
      <c r="B5" s="108"/>
      <c r="C5" s="108"/>
      <c r="D5" s="108"/>
      <c r="E5" s="116"/>
      <c r="F5" s="116"/>
      <c r="G5" s="116"/>
      <c r="H5" s="116"/>
      <c r="I5" s="116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116"/>
      <c r="AB5" s="108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635" t="s">
        <v>319</v>
      </c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  <c r="IM5" s="352"/>
      <c r="IN5" s="352"/>
      <c r="IO5" s="352"/>
      <c r="IP5" s="352"/>
      <c r="IQ5" s="352"/>
      <c r="IR5" s="352"/>
      <c r="IS5" s="352"/>
      <c r="IT5" s="352"/>
      <c r="IU5" s="352"/>
      <c r="IV5" s="352"/>
      <c r="IW5" s="352"/>
    </row>
    <row r="6" customFormat="false" ht="12.75" hidden="false" customHeight="false" outlineLevel="0" collapsed="false">
      <c r="A6" s="285" t="s">
        <v>622</v>
      </c>
      <c r="B6" s="636"/>
      <c r="C6" s="636"/>
      <c r="D6" s="636"/>
      <c r="E6" s="637" t="n">
        <f aca="false">D6+1</f>
        <v>1</v>
      </c>
      <c r="F6" s="636" t="n">
        <f aca="false">E6+1</f>
        <v>2</v>
      </c>
      <c r="G6" s="636" t="n">
        <f aca="false">F6+1</f>
        <v>3</v>
      </c>
      <c r="H6" s="636" t="n">
        <f aca="false">G6+1</f>
        <v>4</v>
      </c>
      <c r="I6" s="636" t="n">
        <f aca="false">H6+1</f>
        <v>5</v>
      </c>
      <c r="J6" s="636" t="n">
        <f aca="false">I6+1</f>
        <v>6</v>
      </c>
      <c r="K6" s="636" t="n">
        <f aca="false">J6+1</f>
        <v>7</v>
      </c>
      <c r="L6" s="636" t="n">
        <f aca="false">K6+1</f>
        <v>8</v>
      </c>
      <c r="M6" s="636" t="n">
        <f aca="false">L6+1</f>
        <v>9</v>
      </c>
      <c r="N6" s="636" t="n">
        <f aca="false">M6+1</f>
        <v>10</v>
      </c>
      <c r="O6" s="636" t="n">
        <f aca="false">N6+1</f>
        <v>11</v>
      </c>
      <c r="P6" s="636" t="n">
        <f aca="false">O6+1</f>
        <v>12</v>
      </c>
      <c r="Q6" s="636" t="n">
        <f aca="false">P6+1</f>
        <v>13</v>
      </c>
      <c r="R6" s="636" t="n">
        <f aca="false">Q6+1</f>
        <v>14</v>
      </c>
      <c r="S6" s="636" t="n">
        <f aca="false">R6+1</f>
        <v>15</v>
      </c>
      <c r="T6" s="636" t="n">
        <f aca="false">S6+1</f>
        <v>16</v>
      </c>
      <c r="U6" s="636" t="n">
        <f aca="false">T6+1</f>
        <v>17</v>
      </c>
      <c r="V6" s="636" t="n">
        <f aca="false">U6+1</f>
        <v>18</v>
      </c>
      <c r="W6" s="636" t="n">
        <f aca="false">V6+1</f>
        <v>19</v>
      </c>
      <c r="X6" s="636" t="n">
        <f aca="false">W6+1</f>
        <v>20</v>
      </c>
      <c r="Y6" s="636" t="n">
        <f aca="false">X6+1</f>
        <v>21</v>
      </c>
      <c r="Z6" s="636" t="n">
        <f aca="false">Y6+1</f>
        <v>22</v>
      </c>
      <c r="AA6" s="636" t="n">
        <f aca="false">Z6+1</f>
        <v>23</v>
      </c>
      <c r="AB6" s="636" t="n">
        <f aca="false">AA6+1</f>
        <v>24</v>
      </c>
      <c r="AC6" s="636" t="n">
        <f aca="false">AB6+1</f>
        <v>25</v>
      </c>
      <c r="AD6" s="636" t="n">
        <f aca="false">AC6+1</f>
        <v>26</v>
      </c>
      <c r="AE6" s="636" t="n">
        <f aca="false">AD6+1</f>
        <v>27</v>
      </c>
      <c r="AF6" s="636" t="n">
        <f aca="false">AE6+1</f>
        <v>28</v>
      </c>
      <c r="AG6" s="636" t="n">
        <f aca="false">AF6+1</f>
        <v>29</v>
      </c>
      <c r="AH6" s="636" t="n">
        <f aca="false">AG6+1</f>
        <v>30</v>
      </c>
      <c r="AI6" s="636" t="n">
        <f aca="false">AH6+1</f>
        <v>31</v>
      </c>
      <c r="AJ6" s="636" t="n">
        <f aca="false">AI6+1</f>
        <v>32</v>
      </c>
      <c r="AK6" s="636" t="n">
        <f aca="false">AJ6+1</f>
        <v>33</v>
      </c>
      <c r="AL6" s="636" t="n">
        <f aca="false">AK6+1</f>
        <v>34</v>
      </c>
      <c r="AM6" s="636" t="n">
        <f aca="false">AL6+1</f>
        <v>35</v>
      </c>
      <c r="AN6" s="636" t="n">
        <f aca="false">AM6+1</f>
        <v>36</v>
      </c>
      <c r="AO6" s="638"/>
      <c r="AP6" s="639"/>
      <c r="AQ6" s="640" t="s">
        <v>623</v>
      </c>
      <c r="AR6" s="635"/>
      <c r="AS6" s="635"/>
      <c r="AT6" s="635"/>
      <c r="AU6" s="635"/>
      <c r="AV6" s="635"/>
      <c r="AW6" s="635"/>
      <c r="AX6" s="635"/>
      <c r="AY6" s="635"/>
      <c r="AZ6" s="635"/>
      <c r="BA6" s="635"/>
      <c r="BB6" s="635"/>
      <c r="BC6" s="635"/>
      <c r="BD6" s="635"/>
      <c r="BE6" s="635"/>
      <c r="BF6" s="635"/>
      <c r="BG6" s="635"/>
      <c r="BH6" s="635"/>
      <c r="BI6" s="635"/>
      <c r="BJ6" s="635"/>
      <c r="BK6" s="635"/>
      <c r="BL6" s="635"/>
      <c r="BM6" s="635"/>
      <c r="BN6" s="635"/>
      <c r="BO6" s="635"/>
      <c r="BP6" s="635"/>
      <c r="BQ6" s="635"/>
      <c r="BR6" s="635"/>
      <c r="BS6" s="635"/>
      <c r="BT6" s="635"/>
      <c r="BU6" s="635"/>
      <c r="BV6" s="635"/>
      <c r="BW6" s="635"/>
      <c r="BX6" s="635"/>
      <c r="BY6" s="635"/>
      <c r="BZ6" s="635"/>
      <c r="CA6" s="635"/>
      <c r="CB6" s="635"/>
      <c r="CC6" s="635"/>
      <c r="CD6" s="635"/>
      <c r="CE6" s="635"/>
      <c r="CF6" s="635"/>
      <c r="CG6" s="635"/>
      <c r="CH6" s="635"/>
      <c r="CI6" s="635"/>
      <c r="CJ6" s="635"/>
      <c r="CK6" s="635"/>
      <c r="CL6" s="635"/>
      <c r="CM6" s="635"/>
      <c r="CN6" s="635"/>
      <c r="CO6" s="635"/>
      <c r="CP6" s="635"/>
      <c r="CQ6" s="635"/>
      <c r="CR6" s="635"/>
      <c r="CS6" s="635"/>
      <c r="CT6" s="635"/>
      <c r="CU6" s="635"/>
      <c r="CV6" s="635"/>
      <c r="CW6" s="635"/>
      <c r="CX6" s="635"/>
      <c r="CY6" s="635"/>
      <c r="CZ6" s="635"/>
      <c r="DA6" s="635"/>
      <c r="DB6" s="635"/>
      <c r="DC6" s="635"/>
      <c r="DD6" s="635"/>
      <c r="DE6" s="635"/>
      <c r="DF6" s="635"/>
      <c r="DG6" s="635"/>
      <c r="DH6" s="635"/>
      <c r="DI6" s="635"/>
      <c r="DJ6" s="635"/>
      <c r="DK6" s="635"/>
      <c r="DL6" s="635"/>
      <c r="DM6" s="635"/>
      <c r="DN6" s="635"/>
      <c r="DO6" s="635"/>
      <c r="DP6" s="635"/>
      <c r="DQ6" s="635"/>
      <c r="DR6" s="635"/>
      <c r="DS6" s="635"/>
      <c r="DT6" s="635"/>
      <c r="DU6" s="635"/>
      <c r="DV6" s="635"/>
      <c r="DW6" s="635"/>
      <c r="DX6" s="635"/>
      <c r="DY6" s="635"/>
      <c r="DZ6" s="635"/>
      <c r="EA6" s="635"/>
      <c r="EB6" s="635"/>
      <c r="EC6" s="635"/>
      <c r="ED6" s="635"/>
      <c r="EE6" s="635"/>
      <c r="EF6" s="635"/>
      <c r="EG6" s="635"/>
      <c r="EH6" s="635"/>
      <c r="EI6" s="635"/>
      <c r="EJ6" s="635"/>
      <c r="EK6" s="635"/>
      <c r="EL6" s="635"/>
      <c r="EM6" s="635"/>
      <c r="EN6" s="635"/>
      <c r="EO6" s="635"/>
      <c r="EP6" s="635"/>
      <c r="EQ6" s="635"/>
      <c r="ER6" s="635"/>
      <c r="ES6" s="635"/>
      <c r="ET6" s="635"/>
      <c r="EU6" s="635"/>
      <c r="EV6" s="635"/>
      <c r="EW6" s="635"/>
      <c r="EX6" s="635"/>
      <c r="EY6" s="635"/>
      <c r="EZ6" s="635"/>
      <c r="FA6" s="635"/>
      <c r="FB6" s="635"/>
      <c r="FC6" s="635"/>
      <c r="FD6" s="635"/>
      <c r="FE6" s="635"/>
      <c r="FF6" s="635"/>
      <c r="FG6" s="635"/>
      <c r="FH6" s="635"/>
      <c r="FI6" s="635"/>
      <c r="FJ6" s="635"/>
      <c r="FK6" s="635"/>
      <c r="FL6" s="635"/>
      <c r="FM6" s="635"/>
      <c r="FN6" s="635"/>
      <c r="FO6" s="635"/>
      <c r="FP6" s="635"/>
      <c r="FQ6" s="635"/>
      <c r="FR6" s="635"/>
      <c r="FS6" s="635"/>
      <c r="FT6" s="635"/>
      <c r="FU6" s="635"/>
      <c r="FV6" s="635"/>
      <c r="FW6" s="635"/>
      <c r="FX6" s="635"/>
      <c r="FY6" s="635"/>
      <c r="FZ6" s="635"/>
      <c r="GA6" s="635"/>
      <c r="GB6" s="635"/>
      <c r="GC6" s="635"/>
      <c r="GD6" s="635"/>
      <c r="GE6" s="635"/>
      <c r="GF6" s="635"/>
      <c r="GG6" s="635"/>
      <c r="GH6" s="635"/>
      <c r="GI6" s="635"/>
      <c r="GJ6" s="635"/>
      <c r="GK6" s="635"/>
      <c r="GL6" s="635"/>
      <c r="GM6" s="635"/>
      <c r="GN6" s="635"/>
      <c r="GO6" s="635"/>
      <c r="GP6" s="635"/>
      <c r="GQ6" s="635"/>
      <c r="GR6" s="635"/>
      <c r="GS6" s="635"/>
      <c r="GT6" s="635"/>
      <c r="GU6" s="635"/>
      <c r="GV6" s="635"/>
      <c r="GW6" s="635"/>
      <c r="GX6" s="635"/>
      <c r="GY6" s="635"/>
      <c r="GZ6" s="635"/>
      <c r="HA6" s="635"/>
      <c r="HB6" s="635"/>
      <c r="HC6" s="635"/>
      <c r="HD6" s="635"/>
      <c r="HE6" s="635"/>
      <c r="HF6" s="635"/>
      <c r="HG6" s="635"/>
      <c r="HH6" s="635"/>
      <c r="HI6" s="635"/>
      <c r="HJ6" s="635"/>
      <c r="HK6" s="635"/>
      <c r="HL6" s="635"/>
      <c r="HM6" s="635"/>
      <c r="HN6" s="635"/>
      <c r="HO6" s="635"/>
      <c r="HP6" s="635"/>
      <c r="HQ6" s="635"/>
      <c r="HR6" s="635"/>
      <c r="HS6" s="635"/>
      <c r="HT6" s="635"/>
      <c r="HU6" s="635"/>
      <c r="HV6" s="635"/>
      <c r="HW6" s="635"/>
      <c r="HX6" s="635"/>
      <c r="HY6" s="635"/>
      <c r="HZ6" s="635"/>
      <c r="IA6" s="635"/>
      <c r="IB6" s="635"/>
      <c r="IC6" s="635"/>
      <c r="ID6" s="635"/>
      <c r="IE6" s="635"/>
      <c r="IF6" s="635"/>
      <c r="IG6" s="635"/>
      <c r="IH6" s="635"/>
      <c r="II6" s="635"/>
      <c r="IJ6" s="635"/>
      <c r="IK6" s="635"/>
      <c r="IL6" s="635"/>
      <c r="IM6" s="635"/>
      <c r="IN6" s="635"/>
      <c r="IO6" s="635"/>
      <c r="IP6" s="635"/>
      <c r="IQ6" s="635"/>
      <c r="IR6" s="635"/>
      <c r="IS6" s="635"/>
      <c r="IT6" s="635"/>
      <c r="IU6" s="635"/>
      <c r="IV6" s="635"/>
      <c r="IW6" s="635"/>
    </row>
    <row r="7" customFormat="false" ht="13.5" hidden="false" customHeight="false" outlineLevel="0" collapsed="false">
      <c r="A7" s="175" t="s">
        <v>624</v>
      </c>
      <c r="B7" s="641"/>
      <c r="C7" s="641"/>
      <c r="D7" s="641"/>
      <c r="E7" s="642" t="n">
        <f aca="false">IDC!E7</f>
        <v>35886</v>
      </c>
      <c r="F7" s="642" t="n">
        <f aca="false">IDC!F7</f>
        <v>35916</v>
      </c>
      <c r="G7" s="642" t="n">
        <f aca="false">IDC!G7</f>
        <v>35947</v>
      </c>
      <c r="H7" s="642" t="n">
        <f aca="false">IDC!H7</f>
        <v>35977</v>
      </c>
      <c r="I7" s="642" t="n">
        <f aca="false">IDC!I7</f>
        <v>36008</v>
      </c>
      <c r="J7" s="642" t="n">
        <f aca="false">IDC!J7</f>
        <v>36039</v>
      </c>
      <c r="K7" s="642" t="n">
        <f aca="false">IDC!K7</f>
        <v>36069</v>
      </c>
      <c r="L7" s="642" t="n">
        <f aca="false">IDC!L7</f>
        <v>36100</v>
      </c>
      <c r="M7" s="642" t="n">
        <f aca="false">IDC!M7</f>
        <v>36130</v>
      </c>
      <c r="N7" s="642" t="n">
        <f aca="false">IDC!N7</f>
        <v>36161</v>
      </c>
      <c r="O7" s="642" t="n">
        <f aca="false">IDC!O7</f>
        <v>36192</v>
      </c>
      <c r="P7" s="642" t="n">
        <f aca="false">IDC!P7</f>
        <v>36220</v>
      </c>
      <c r="Q7" s="642" t="n">
        <f aca="false">IDC!Q7</f>
        <v>36251</v>
      </c>
      <c r="R7" s="642" t="n">
        <f aca="false">IDC!R7</f>
        <v>36281</v>
      </c>
      <c r="S7" s="642" t="n">
        <f aca="false">IDC!S7</f>
        <v>36312</v>
      </c>
      <c r="T7" s="642" t="n">
        <f aca="false">IDC!T7</f>
        <v>36342</v>
      </c>
      <c r="U7" s="642" t="n">
        <f aca="false">IDC!U7</f>
        <v>36373</v>
      </c>
      <c r="V7" s="642" t="n">
        <f aca="false">IDC!V7</f>
        <v>36404</v>
      </c>
      <c r="W7" s="642" t="n">
        <f aca="false">IDC!W7</f>
        <v>36434</v>
      </c>
      <c r="X7" s="642" t="n">
        <f aca="false">IDC!X7</f>
        <v>36465</v>
      </c>
      <c r="Y7" s="642" t="n">
        <f aca="false">IDC!Y7</f>
        <v>36495</v>
      </c>
      <c r="Z7" s="642" t="n">
        <f aca="false">IDC!Z7</f>
        <v>36526</v>
      </c>
      <c r="AA7" s="642" t="n">
        <f aca="false">IDC!AA7</f>
        <v>36557</v>
      </c>
      <c r="AB7" s="642" t="n">
        <f aca="false">IDC!AB7</f>
        <v>36586</v>
      </c>
      <c r="AC7" s="642" t="n">
        <f aca="false">IDC!AC7</f>
        <v>36617</v>
      </c>
      <c r="AD7" s="642" t="n">
        <f aca="false">IDC!AD7</f>
        <v>36647</v>
      </c>
      <c r="AE7" s="642" t="n">
        <f aca="false">IDC!AE7</f>
        <v>36678</v>
      </c>
      <c r="AF7" s="642" t="n">
        <f aca="false">IDC!AF7</f>
        <v>36708</v>
      </c>
      <c r="AG7" s="642" t="n">
        <f aca="false">IDC!AG7</f>
        <v>36739</v>
      </c>
      <c r="AH7" s="642" t="n">
        <f aca="false">IDC!AH7</f>
        <v>36770</v>
      </c>
      <c r="AI7" s="642" t="n">
        <f aca="false">IDC!AI7</f>
        <v>36800</v>
      </c>
      <c r="AJ7" s="642" t="n">
        <f aca="false">IDC!AJ7</f>
        <v>36831</v>
      </c>
      <c r="AK7" s="642" t="n">
        <f aca="false">IDC!AK7</f>
        <v>36861</v>
      </c>
      <c r="AL7" s="642" t="n">
        <f aca="false">IDC!AL7</f>
        <v>36892</v>
      </c>
      <c r="AM7" s="642" t="n">
        <f aca="false">IDC!AM7</f>
        <v>36923</v>
      </c>
      <c r="AN7" s="642" t="n">
        <f aca="false">IDC!AN7</f>
        <v>36951</v>
      </c>
      <c r="AO7" s="643"/>
      <c r="AP7" s="644" t="s">
        <v>323</v>
      </c>
      <c r="AQ7" s="645" t="n">
        <v>1</v>
      </c>
      <c r="AR7" s="635"/>
      <c r="AS7" s="635"/>
      <c r="AT7" s="635"/>
      <c r="AU7" s="635"/>
      <c r="AV7" s="635"/>
      <c r="AW7" s="635"/>
      <c r="AX7" s="635"/>
      <c r="AY7" s="635"/>
      <c r="AZ7" s="635"/>
      <c r="BA7" s="635"/>
      <c r="BB7" s="635"/>
      <c r="BC7" s="635"/>
      <c r="BD7" s="635"/>
      <c r="BE7" s="635"/>
      <c r="BF7" s="635"/>
      <c r="BG7" s="635"/>
      <c r="BH7" s="635"/>
      <c r="BI7" s="635"/>
      <c r="BJ7" s="635"/>
      <c r="BK7" s="635"/>
      <c r="BL7" s="635"/>
      <c r="BM7" s="635"/>
      <c r="BN7" s="635"/>
      <c r="BO7" s="635"/>
      <c r="BP7" s="635"/>
      <c r="BQ7" s="635"/>
      <c r="BR7" s="635"/>
      <c r="BS7" s="635"/>
      <c r="BT7" s="635"/>
      <c r="BU7" s="635"/>
      <c r="BV7" s="635"/>
      <c r="BW7" s="635"/>
      <c r="BX7" s="635"/>
      <c r="BY7" s="635"/>
      <c r="BZ7" s="635"/>
      <c r="CA7" s="635"/>
      <c r="CB7" s="635"/>
      <c r="CC7" s="635"/>
      <c r="CD7" s="635"/>
      <c r="CE7" s="635"/>
      <c r="CF7" s="635"/>
      <c r="CG7" s="635"/>
      <c r="CH7" s="635"/>
      <c r="CI7" s="635"/>
      <c r="CJ7" s="635"/>
      <c r="CK7" s="635"/>
      <c r="CL7" s="635"/>
      <c r="CM7" s="635"/>
      <c r="CN7" s="635"/>
      <c r="CO7" s="635"/>
      <c r="CP7" s="635"/>
      <c r="CQ7" s="635"/>
      <c r="CR7" s="635"/>
      <c r="CS7" s="635"/>
      <c r="CT7" s="635"/>
      <c r="CU7" s="635"/>
      <c r="CV7" s="635"/>
      <c r="CW7" s="635"/>
      <c r="CX7" s="635"/>
      <c r="CY7" s="635"/>
      <c r="CZ7" s="635"/>
      <c r="DA7" s="635"/>
      <c r="DB7" s="635"/>
      <c r="DC7" s="635"/>
      <c r="DD7" s="635"/>
      <c r="DE7" s="635"/>
      <c r="DF7" s="635"/>
      <c r="DG7" s="635"/>
      <c r="DH7" s="635"/>
      <c r="DI7" s="635"/>
      <c r="DJ7" s="635"/>
      <c r="DK7" s="635"/>
      <c r="DL7" s="635"/>
      <c r="DM7" s="635"/>
      <c r="DN7" s="635"/>
      <c r="DO7" s="635"/>
      <c r="DP7" s="635"/>
      <c r="DQ7" s="635"/>
      <c r="DR7" s="635"/>
      <c r="DS7" s="635"/>
      <c r="DT7" s="635"/>
      <c r="DU7" s="635"/>
      <c r="DV7" s="635"/>
      <c r="DW7" s="635"/>
      <c r="DX7" s="635"/>
      <c r="DY7" s="635"/>
      <c r="DZ7" s="635"/>
      <c r="EA7" s="635"/>
      <c r="EB7" s="635"/>
      <c r="EC7" s="635"/>
      <c r="ED7" s="635"/>
      <c r="EE7" s="635"/>
      <c r="EF7" s="635"/>
      <c r="EG7" s="635"/>
      <c r="EH7" s="635"/>
      <c r="EI7" s="635"/>
      <c r="EJ7" s="635"/>
      <c r="EK7" s="635"/>
      <c r="EL7" s="635"/>
      <c r="EM7" s="635"/>
      <c r="EN7" s="635"/>
      <c r="EO7" s="635"/>
      <c r="EP7" s="635"/>
      <c r="EQ7" s="635"/>
      <c r="ER7" s="635"/>
      <c r="ES7" s="635"/>
      <c r="ET7" s="635"/>
      <c r="EU7" s="635"/>
      <c r="EV7" s="635"/>
      <c r="EW7" s="635"/>
      <c r="EX7" s="635"/>
      <c r="EY7" s="635"/>
      <c r="EZ7" s="635"/>
      <c r="FA7" s="635"/>
      <c r="FB7" s="635"/>
      <c r="FC7" s="635"/>
      <c r="FD7" s="635"/>
      <c r="FE7" s="635"/>
      <c r="FF7" s="635"/>
      <c r="FG7" s="635"/>
      <c r="FH7" s="635"/>
      <c r="FI7" s="635"/>
      <c r="FJ7" s="635"/>
      <c r="FK7" s="635"/>
      <c r="FL7" s="635"/>
      <c r="FM7" s="635"/>
      <c r="FN7" s="635"/>
      <c r="FO7" s="635"/>
      <c r="FP7" s="635"/>
      <c r="FQ7" s="635"/>
      <c r="FR7" s="635"/>
      <c r="FS7" s="635"/>
      <c r="FT7" s="635"/>
      <c r="FU7" s="635"/>
      <c r="FV7" s="635"/>
      <c r="FW7" s="635"/>
      <c r="FX7" s="635"/>
      <c r="FY7" s="635"/>
      <c r="FZ7" s="635"/>
      <c r="GA7" s="635"/>
      <c r="GB7" s="635"/>
      <c r="GC7" s="635"/>
      <c r="GD7" s="635"/>
      <c r="GE7" s="635"/>
      <c r="GF7" s="635"/>
      <c r="GG7" s="635"/>
      <c r="GH7" s="635"/>
      <c r="GI7" s="635"/>
      <c r="GJ7" s="635"/>
      <c r="GK7" s="635"/>
      <c r="GL7" s="635"/>
      <c r="GM7" s="635"/>
      <c r="GN7" s="635"/>
      <c r="GO7" s="635"/>
      <c r="GP7" s="635"/>
      <c r="GQ7" s="635"/>
      <c r="GR7" s="635"/>
      <c r="GS7" s="635"/>
      <c r="GT7" s="635"/>
      <c r="GU7" s="635"/>
      <c r="GV7" s="635"/>
      <c r="GW7" s="635"/>
      <c r="GX7" s="635"/>
      <c r="GY7" s="635"/>
      <c r="GZ7" s="635"/>
      <c r="HA7" s="635"/>
      <c r="HB7" s="635"/>
      <c r="HC7" s="635"/>
      <c r="HD7" s="635"/>
      <c r="HE7" s="635"/>
      <c r="HF7" s="635"/>
      <c r="HG7" s="635"/>
      <c r="HH7" s="635"/>
      <c r="HI7" s="635"/>
      <c r="HJ7" s="635"/>
      <c r="HK7" s="635"/>
      <c r="HL7" s="635"/>
      <c r="HM7" s="635"/>
      <c r="HN7" s="635"/>
      <c r="HO7" s="635"/>
      <c r="HP7" s="635"/>
      <c r="HQ7" s="635"/>
      <c r="HR7" s="635"/>
      <c r="HS7" s="635"/>
      <c r="HT7" s="635"/>
      <c r="HU7" s="635"/>
      <c r="HV7" s="635"/>
      <c r="HW7" s="635"/>
      <c r="HX7" s="635"/>
      <c r="HY7" s="635"/>
      <c r="HZ7" s="635"/>
      <c r="IA7" s="635"/>
      <c r="IB7" s="635"/>
      <c r="IC7" s="635"/>
      <c r="ID7" s="635"/>
      <c r="IE7" s="635"/>
      <c r="IF7" s="635"/>
      <c r="IG7" s="635"/>
      <c r="IH7" s="635"/>
      <c r="II7" s="635"/>
      <c r="IJ7" s="635"/>
      <c r="IK7" s="635"/>
      <c r="IL7" s="635"/>
      <c r="IM7" s="635"/>
      <c r="IN7" s="635"/>
      <c r="IO7" s="635"/>
      <c r="IP7" s="635"/>
      <c r="IQ7" s="635"/>
      <c r="IR7" s="635"/>
      <c r="IS7" s="635"/>
      <c r="IT7" s="635"/>
      <c r="IU7" s="635"/>
      <c r="IV7" s="635"/>
      <c r="IW7" s="635"/>
    </row>
    <row r="8" customFormat="false" ht="12.75" hidden="false" customHeight="false" outlineLevel="0" collapsed="false">
      <c r="A8" s="646"/>
      <c r="B8" s="112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647"/>
      <c r="AQ8" s="648" t="n">
        <f aca="false">AQ7+1</f>
        <v>2</v>
      </c>
      <c r="AR8" s="635"/>
      <c r="AS8" s="635"/>
      <c r="AT8" s="635"/>
      <c r="AU8" s="635"/>
      <c r="AV8" s="635"/>
      <c r="AW8" s="635"/>
      <c r="AX8" s="635"/>
      <c r="AY8" s="635"/>
      <c r="AZ8" s="635"/>
      <c r="BA8" s="635"/>
      <c r="BB8" s="635"/>
      <c r="BC8" s="635"/>
      <c r="BD8" s="635"/>
      <c r="BE8" s="635"/>
      <c r="BF8" s="635"/>
      <c r="BG8" s="635"/>
      <c r="BH8" s="635"/>
      <c r="BI8" s="635"/>
      <c r="BJ8" s="635"/>
      <c r="BK8" s="635"/>
      <c r="BL8" s="635"/>
      <c r="BM8" s="635"/>
      <c r="BN8" s="635"/>
      <c r="BO8" s="635"/>
      <c r="BP8" s="635"/>
      <c r="BQ8" s="635"/>
      <c r="BR8" s="635"/>
      <c r="BS8" s="635"/>
      <c r="BT8" s="635"/>
      <c r="BU8" s="635"/>
      <c r="BV8" s="635"/>
      <c r="BW8" s="635"/>
      <c r="BX8" s="635"/>
      <c r="BY8" s="635"/>
      <c r="BZ8" s="635"/>
      <c r="CA8" s="635"/>
      <c r="CB8" s="635"/>
      <c r="CC8" s="635"/>
      <c r="CD8" s="635"/>
      <c r="CE8" s="635"/>
      <c r="CF8" s="635"/>
      <c r="CG8" s="635"/>
      <c r="CH8" s="635"/>
      <c r="CI8" s="635"/>
      <c r="CJ8" s="635"/>
      <c r="CK8" s="635"/>
      <c r="CL8" s="635"/>
      <c r="CM8" s="635"/>
      <c r="CN8" s="635"/>
      <c r="CO8" s="635"/>
      <c r="CP8" s="635"/>
      <c r="CQ8" s="635"/>
      <c r="CR8" s="635"/>
      <c r="CS8" s="635"/>
      <c r="CT8" s="635"/>
      <c r="CU8" s="635"/>
      <c r="CV8" s="635"/>
      <c r="CW8" s="635"/>
      <c r="CX8" s="635"/>
      <c r="CY8" s="635"/>
      <c r="CZ8" s="635"/>
      <c r="DA8" s="635"/>
      <c r="DB8" s="635"/>
      <c r="DC8" s="635"/>
      <c r="DD8" s="635"/>
      <c r="DE8" s="635"/>
      <c r="DF8" s="635"/>
      <c r="DG8" s="635"/>
      <c r="DH8" s="635"/>
      <c r="DI8" s="635"/>
      <c r="DJ8" s="635"/>
      <c r="DK8" s="635"/>
      <c r="DL8" s="635"/>
      <c r="DM8" s="635"/>
      <c r="DN8" s="635"/>
      <c r="DO8" s="635"/>
      <c r="DP8" s="635"/>
      <c r="DQ8" s="635"/>
      <c r="DR8" s="635"/>
      <c r="DS8" s="635"/>
      <c r="DT8" s="635"/>
      <c r="DU8" s="635"/>
      <c r="DV8" s="635"/>
      <c r="DW8" s="635"/>
      <c r="DX8" s="635"/>
      <c r="DY8" s="635"/>
      <c r="DZ8" s="635"/>
      <c r="EA8" s="635"/>
      <c r="EB8" s="635"/>
      <c r="EC8" s="635"/>
      <c r="ED8" s="635"/>
      <c r="EE8" s="635"/>
      <c r="EF8" s="635"/>
      <c r="EG8" s="635"/>
      <c r="EH8" s="635"/>
      <c r="EI8" s="635"/>
      <c r="EJ8" s="635"/>
      <c r="EK8" s="635"/>
      <c r="EL8" s="635"/>
      <c r="EM8" s="635"/>
      <c r="EN8" s="635"/>
      <c r="EO8" s="635"/>
      <c r="EP8" s="635"/>
      <c r="EQ8" s="635"/>
      <c r="ER8" s="635"/>
      <c r="ES8" s="635"/>
      <c r="ET8" s="635"/>
      <c r="EU8" s="635"/>
      <c r="EV8" s="635"/>
      <c r="EW8" s="635"/>
      <c r="EX8" s="635"/>
      <c r="EY8" s="635"/>
      <c r="EZ8" s="635"/>
      <c r="FA8" s="635"/>
      <c r="FB8" s="635"/>
      <c r="FC8" s="635"/>
      <c r="FD8" s="635"/>
      <c r="FE8" s="635"/>
      <c r="FF8" s="635"/>
      <c r="FG8" s="635"/>
      <c r="FH8" s="635"/>
      <c r="FI8" s="635"/>
      <c r="FJ8" s="635"/>
      <c r="FK8" s="635"/>
      <c r="FL8" s="635"/>
      <c r="FM8" s="635"/>
      <c r="FN8" s="635"/>
      <c r="FO8" s="635"/>
      <c r="FP8" s="635"/>
      <c r="FQ8" s="635"/>
      <c r="FR8" s="635"/>
      <c r="FS8" s="635"/>
      <c r="FT8" s="635"/>
      <c r="FU8" s="635"/>
      <c r="FV8" s="635"/>
      <c r="FW8" s="635"/>
      <c r="FX8" s="635"/>
      <c r="FY8" s="635"/>
      <c r="FZ8" s="635"/>
      <c r="GA8" s="635"/>
      <c r="GB8" s="635"/>
      <c r="GC8" s="635"/>
      <c r="GD8" s="635"/>
      <c r="GE8" s="635"/>
      <c r="GF8" s="635"/>
      <c r="GG8" s="635"/>
      <c r="GH8" s="635"/>
      <c r="GI8" s="635"/>
      <c r="GJ8" s="635"/>
      <c r="GK8" s="635"/>
      <c r="GL8" s="635"/>
      <c r="GM8" s="635"/>
      <c r="GN8" s="635"/>
      <c r="GO8" s="635"/>
      <c r="GP8" s="635"/>
      <c r="GQ8" s="635"/>
      <c r="GR8" s="635"/>
      <c r="GS8" s="635"/>
      <c r="GT8" s="635"/>
      <c r="GU8" s="635"/>
      <c r="GV8" s="635"/>
      <c r="GW8" s="635"/>
      <c r="GX8" s="635"/>
      <c r="GY8" s="635"/>
      <c r="GZ8" s="635"/>
      <c r="HA8" s="635"/>
      <c r="HB8" s="635"/>
      <c r="HC8" s="635"/>
      <c r="HD8" s="635"/>
      <c r="HE8" s="635"/>
      <c r="HF8" s="635"/>
      <c r="HG8" s="635"/>
      <c r="HH8" s="635"/>
      <c r="HI8" s="635"/>
      <c r="HJ8" s="635"/>
      <c r="HK8" s="635"/>
      <c r="HL8" s="635"/>
      <c r="HM8" s="635"/>
      <c r="HN8" s="635"/>
      <c r="HO8" s="635"/>
      <c r="HP8" s="635"/>
      <c r="HQ8" s="635"/>
      <c r="HR8" s="635"/>
      <c r="HS8" s="635"/>
      <c r="HT8" s="635"/>
      <c r="HU8" s="635"/>
      <c r="HV8" s="635"/>
      <c r="HW8" s="635"/>
      <c r="HX8" s="635"/>
      <c r="HY8" s="635"/>
      <c r="HZ8" s="635"/>
      <c r="IA8" s="635"/>
      <c r="IB8" s="635"/>
      <c r="IC8" s="635"/>
      <c r="ID8" s="635"/>
      <c r="IE8" s="635"/>
      <c r="IF8" s="635"/>
      <c r="IG8" s="635"/>
      <c r="IH8" s="635"/>
      <c r="II8" s="635"/>
      <c r="IJ8" s="635"/>
      <c r="IK8" s="635"/>
      <c r="IL8" s="635"/>
      <c r="IM8" s="635"/>
      <c r="IN8" s="635"/>
      <c r="IO8" s="635"/>
      <c r="IP8" s="635"/>
      <c r="IQ8" s="635"/>
      <c r="IR8" s="635"/>
      <c r="IS8" s="635"/>
      <c r="IT8" s="635"/>
      <c r="IU8" s="635"/>
      <c r="IV8" s="635"/>
      <c r="IW8" s="635"/>
    </row>
    <row r="9" customFormat="false" ht="12.75" hidden="false" customHeight="false" outlineLevel="0" collapsed="false">
      <c r="A9" s="649" t="str">
        <f aca="false">Assm!N7</f>
        <v>EPC Turnkey Contract</v>
      </c>
      <c r="B9" s="112"/>
      <c r="C9" s="174" t="n">
        <f aca="false">Assm!R7</f>
        <v>66413.135</v>
      </c>
      <c r="D9" s="84"/>
      <c r="E9" s="499" t="n">
        <f aca="false">E84+E85+E87+E90</f>
        <v>0</v>
      </c>
      <c r="F9" s="499" t="n">
        <f aca="false">F84+F85+F87+F90</f>
        <v>0</v>
      </c>
      <c r="G9" s="499" t="n">
        <f aca="false">G84+G85+G87+G90</f>
        <v>10.6849611063094</v>
      </c>
      <c r="H9" s="499" t="n">
        <f aca="false">H84+H85+H87+H90</f>
        <v>0</v>
      </c>
      <c r="I9" s="499" t="n">
        <f aca="false">I84+I85+I87+I90</f>
        <v>0</v>
      </c>
      <c r="J9" s="499" t="n">
        <f aca="false">J84+J85+J87+J90</f>
        <v>0</v>
      </c>
      <c r="K9" s="499" t="n">
        <f aca="false">K84+K85+K87+K90</f>
        <v>0</v>
      </c>
      <c r="L9" s="499" t="n">
        <f aca="false">L84+L85+L87+L90</f>
        <v>0</v>
      </c>
      <c r="M9" s="499" t="n">
        <f aca="false">M84+M85+M87+M90</f>
        <v>2865.49513347704</v>
      </c>
      <c r="N9" s="499" t="n">
        <f aca="false">N84+N85+N87+N90</f>
        <v>3744.66842639594</v>
      </c>
      <c r="O9" s="499" t="n">
        <f aca="false">O84+O85+O87+O90</f>
        <v>4163.2945563735</v>
      </c>
      <c r="P9" s="499" t="n">
        <f aca="false">P84+P85+P87+P90</f>
        <v>4.51002227171492</v>
      </c>
      <c r="Q9" s="499" t="n">
        <f aca="false">Q84+Q85+Q87+Q90</f>
        <v>2726.19693768546</v>
      </c>
      <c r="R9" s="499" t="n">
        <f aca="false">R84+R85+R87+R90</f>
        <v>779.560295823666</v>
      </c>
      <c r="S9" s="499" t="n">
        <f aca="false">S84+S85+S87+S90</f>
        <v>6266.58487366265</v>
      </c>
      <c r="T9" s="499" t="n">
        <f aca="false">T84+T85+T87+T90</f>
        <v>11822.9610743802</v>
      </c>
      <c r="U9" s="499" t="n">
        <f aca="false">U84+U85+U87+U90</f>
        <v>405.972702124328</v>
      </c>
      <c r="V9" s="499" t="n">
        <f aca="false">V84+V85+V87+V90</f>
        <v>2078.86558809759</v>
      </c>
      <c r="W9" s="499" t="n">
        <f aca="false">W84+W85+W87+W90</f>
        <v>260.695340501792</v>
      </c>
      <c r="X9" s="499" t="n">
        <f aca="false">X84+X85+X87+X90</f>
        <v>4734.60966349405</v>
      </c>
      <c r="Y9" s="499" t="n">
        <f aca="false">Y84+Y85+Y87+Y90</f>
        <v>8598.02403577418</v>
      </c>
      <c r="Z9" s="499" t="n">
        <f aca="false">Z84+Z85+Z87+Z90</f>
        <v>2412.24789169996</v>
      </c>
      <c r="AA9" s="499" t="n">
        <f aca="false">AA84+AA85+AA87+AA90</f>
        <v>4236.38803687879</v>
      </c>
      <c r="AB9" s="499" t="n">
        <f aca="false">AB84+AB85+AB87+AB90</f>
        <v>572.311566416757</v>
      </c>
      <c r="AC9" s="650" t="n">
        <f aca="false">($C$15-SUM($E9:$AB9))/9</f>
        <v>3835.45407064192</v>
      </c>
      <c r="AD9" s="650" t="n">
        <f aca="false">($C$15-SUM($E9:$AB9))/9</f>
        <v>3835.45407064192</v>
      </c>
      <c r="AE9" s="650" t="n">
        <f aca="false">($C$15-SUM($E9:$AB9))/9</f>
        <v>3835.45407064192</v>
      </c>
      <c r="AF9" s="650" t="n">
        <f aca="false">($C$15-SUM($E9:$AB9))/9</f>
        <v>3835.45407064192</v>
      </c>
      <c r="AG9" s="650" t="n">
        <f aca="false">($C$15-SUM($E9:$AB9))/9</f>
        <v>3835.45407064192</v>
      </c>
      <c r="AH9" s="650" t="n">
        <f aca="false">($C$15-SUM($E9:$AB9))/9</f>
        <v>3835.45407064192</v>
      </c>
      <c r="AI9" s="650" t="n">
        <f aca="false">($C$15-SUM($E9:$AB9))/9</f>
        <v>3835.45407064192</v>
      </c>
      <c r="AJ9" s="650" t="n">
        <f aca="false">($C$15-SUM($E9:$AB9))/9</f>
        <v>3835.45407064192</v>
      </c>
      <c r="AK9" s="650" t="n">
        <f aca="false">($C$15-SUM($E9:$AB9))/9</f>
        <v>3835.45407064192</v>
      </c>
      <c r="AL9" s="650" t="n">
        <v>0</v>
      </c>
      <c r="AM9" s="650" t="n">
        <v>0</v>
      </c>
      <c r="AN9" s="650" t="n">
        <v>0</v>
      </c>
      <c r="AO9" s="84"/>
      <c r="AP9" s="482" t="n">
        <f aca="false">SUM(E9:AO9)</f>
        <v>90202.1577419412</v>
      </c>
      <c r="AQ9" s="648" t="n">
        <f aca="false">AQ8+1</f>
        <v>3</v>
      </c>
      <c r="AR9" s="635"/>
      <c r="AS9" s="635"/>
      <c r="AT9" s="635"/>
      <c r="AU9" s="635"/>
      <c r="AV9" s="635"/>
      <c r="AW9" s="635"/>
      <c r="AX9" s="635"/>
      <c r="AY9" s="635"/>
      <c r="AZ9" s="635"/>
      <c r="BA9" s="635"/>
      <c r="BB9" s="635"/>
      <c r="BC9" s="635"/>
      <c r="BD9" s="635"/>
      <c r="BE9" s="635"/>
      <c r="BF9" s="635"/>
      <c r="BG9" s="635"/>
      <c r="BH9" s="635"/>
      <c r="BI9" s="635"/>
      <c r="BJ9" s="635"/>
      <c r="BK9" s="635"/>
      <c r="BL9" s="635"/>
      <c r="BM9" s="635"/>
      <c r="BN9" s="635"/>
      <c r="BO9" s="635"/>
      <c r="BP9" s="635"/>
      <c r="BQ9" s="635"/>
      <c r="BR9" s="635"/>
      <c r="BS9" s="635"/>
      <c r="BT9" s="635"/>
      <c r="BU9" s="635"/>
      <c r="BV9" s="635"/>
      <c r="BW9" s="635"/>
      <c r="BX9" s="635"/>
      <c r="BY9" s="635"/>
      <c r="BZ9" s="635"/>
      <c r="CA9" s="635"/>
      <c r="CB9" s="635"/>
      <c r="CC9" s="635"/>
      <c r="CD9" s="635"/>
      <c r="CE9" s="635"/>
      <c r="CF9" s="635"/>
      <c r="CG9" s="635"/>
      <c r="CH9" s="635"/>
      <c r="CI9" s="635"/>
      <c r="CJ9" s="635"/>
      <c r="CK9" s="635"/>
      <c r="CL9" s="635"/>
      <c r="CM9" s="635"/>
      <c r="CN9" s="635"/>
      <c r="CO9" s="635"/>
      <c r="CP9" s="635"/>
      <c r="CQ9" s="635"/>
      <c r="CR9" s="635"/>
      <c r="CS9" s="635"/>
      <c r="CT9" s="635"/>
      <c r="CU9" s="635"/>
      <c r="CV9" s="635"/>
      <c r="CW9" s="635"/>
      <c r="CX9" s="635"/>
      <c r="CY9" s="635"/>
      <c r="CZ9" s="635"/>
      <c r="DA9" s="635"/>
      <c r="DB9" s="635"/>
      <c r="DC9" s="635"/>
      <c r="DD9" s="635"/>
      <c r="DE9" s="635"/>
      <c r="DF9" s="635"/>
      <c r="DG9" s="635"/>
      <c r="DH9" s="635"/>
      <c r="DI9" s="635"/>
      <c r="DJ9" s="635"/>
      <c r="DK9" s="635"/>
      <c r="DL9" s="635"/>
      <c r="DM9" s="635"/>
      <c r="DN9" s="635"/>
      <c r="DO9" s="635"/>
      <c r="DP9" s="635"/>
      <c r="DQ9" s="635"/>
      <c r="DR9" s="635"/>
      <c r="DS9" s="635"/>
      <c r="DT9" s="635"/>
      <c r="DU9" s="635"/>
      <c r="DV9" s="635"/>
      <c r="DW9" s="635"/>
      <c r="DX9" s="635"/>
      <c r="DY9" s="635"/>
      <c r="DZ9" s="635"/>
      <c r="EA9" s="635"/>
      <c r="EB9" s="635"/>
      <c r="EC9" s="635"/>
      <c r="ED9" s="635"/>
      <c r="EE9" s="635"/>
      <c r="EF9" s="635"/>
      <c r="EG9" s="635"/>
      <c r="EH9" s="635"/>
      <c r="EI9" s="635"/>
      <c r="EJ9" s="635"/>
      <c r="EK9" s="635"/>
      <c r="EL9" s="635"/>
      <c r="EM9" s="635"/>
      <c r="EN9" s="635"/>
      <c r="EO9" s="635"/>
      <c r="EP9" s="635"/>
      <c r="EQ9" s="635"/>
      <c r="ER9" s="635"/>
      <c r="ES9" s="635"/>
      <c r="ET9" s="635"/>
      <c r="EU9" s="635"/>
      <c r="EV9" s="635"/>
      <c r="EW9" s="635"/>
      <c r="EX9" s="635"/>
      <c r="EY9" s="635"/>
      <c r="EZ9" s="635"/>
      <c r="FA9" s="635"/>
      <c r="FB9" s="635"/>
      <c r="FC9" s="635"/>
      <c r="FD9" s="635"/>
      <c r="FE9" s="635"/>
      <c r="FF9" s="635"/>
      <c r="FG9" s="635"/>
      <c r="FH9" s="635"/>
      <c r="FI9" s="635"/>
      <c r="FJ9" s="635"/>
      <c r="FK9" s="635"/>
      <c r="FL9" s="635"/>
      <c r="FM9" s="635"/>
      <c r="FN9" s="635"/>
      <c r="FO9" s="635"/>
      <c r="FP9" s="635"/>
      <c r="FQ9" s="635"/>
      <c r="FR9" s="635"/>
      <c r="FS9" s="635"/>
      <c r="FT9" s="635"/>
      <c r="FU9" s="635"/>
      <c r="FV9" s="635"/>
      <c r="FW9" s="635"/>
      <c r="FX9" s="635"/>
      <c r="FY9" s="635"/>
      <c r="FZ9" s="635"/>
      <c r="GA9" s="635"/>
      <c r="GB9" s="635"/>
      <c r="GC9" s="635"/>
      <c r="GD9" s="635"/>
      <c r="GE9" s="635"/>
      <c r="GF9" s="635"/>
      <c r="GG9" s="635"/>
      <c r="GH9" s="635"/>
      <c r="GI9" s="635"/>
      <c r="GJ9" s="635"/>
      <c r="GK9" s="635"/>
      <c r="GL9" s="635"/>
      <c r="GM9" s="635"/>
      <c r="GN9" s="635"/>
      <c r="GO9" s="635"/>
      <c r="GP9" s="635"/>
      <c r="GQ9" s="635"/>
      <c r="GR9" s="635"/>
      <c r="GS9" s="635"/>
      <c r="GT9" s="635"/>
      <c r="GU9" s="635"/>
      <c r="GV9" s="635"/>
      <c r="GW9" s="635"/>
      <c r="GX9" s="635"/>
      <c r="GY9" s="635"/>
      <c r="GZ9" s="635"/>
      <c r="HA9" s="635"/>
      <c r="HB9" s="635"/>
      <c r="HC9" s="635"/>
      <c r="HD9" s="635"/>
      <c r="HE9" s="635"/>
      <c r="HF9" s="635"/>
      <c r="HG9" s="635"/>
      <c r="HH9" s="635"/>
      <c r="HI9" s="635"/>
      <c r="HJ9" s="635"/>
      <c r="HK9" s="635"/>
      <c r="HL9" s="635"/>
      <c r="HM9" s="635"/>
      <c r="HN9" s="635"/>
      <c r="HO9" s="635"/>
      <c r="HP9" s="635"/>
      <c r="HQ9" s="635"/>
      <c r="HR9" s="635"/>
      <c r="HS9" s="635"/>
      <c r="HT9" s="635"/>
      <c r="HU9" s="635"/>
      <c r="HV9" s="635"/>
      <c r="HW9" s="635"/>
      <c r="HX9" s="635"/>
      <c r="HY9" s="635"/>
      <c r="HZ9" s="635"/>
      <c r="IA9" s="635"/>
      <c r="IB9" s="635"/>
      <c r="IC9" s="635"/>
      <c r="ID9" s="635"/>
      <c r="IE9" s="635"/>
      <c r="IF9" s="635"/>
      <c r="IG9" s="635"/>
      <c r="IH9" s="635"/>
      <c r="II9" s="635"/>
      <c r="IJ9" s="635"/>
      <c r="IK9" s="635"/>
      <c r="IL9" s="635"/>
      <c r="IM9" s="635"/>
      <c r="IN9" s="635"/>
      <c r="IO9" s="635"/>
      <c r="IP9" s="635"/>
      <c r="IQ9" s="635"/>
      <c r="IR9" s="635"/>
      <c r="IS9" s="635"/>
      <c r="IT9" s="635"/>
      <c r="IU9" s="635"/>
      <c r="IV9" s="635"/>
      <c r="IW9" s="635"/>
    </row>
    <row r="10" customFormat="false" ht="12.75" hidden="false" customHeight="false" outlineLevel="0" collapsed="false">
      <c r="A10" s="649" t="str">
        <f aca="false">Assm!N8</f>
        <v>Approved Change Orders</v>
      </c>
      <c r="B10" s="112"/>
      <c r="C10" s="174" t="n">
        <f aca="false">Assm!R8</f>
        <v>5631.945</v>
      </c>
      <c r="D10" s="84"/>
      <c r="E10" s="156" t="n">
        <v>0</v>
      </c>
      <c r="F10" s="156" t="n">
        <v>0</v>
      </c>
      <c r="G10" s="156" t="n">
        <v>0</v>
      </c>
      <c r="H10" s="156" t="n">
        <v>0</v>
      </c>
      <c r="I10" s="156" t="n">
        <v>0</v>
      </c>
      <c r="J10" s="156" t="n">
        <v>0</v>
      </c>
      <c r="K10" s="156" t="n">
        <v>0</v>
      </c>
      <c r="L10" s="156" t="n">
        <v>0</v>
      </c>
      <c r="M10" s="156" t="n">
        <v>0</v>
      </c>
      <c r="N10" s="156" t="n">
        <v>0</v>
      </c>
      <c r="O10" s="156" t="n">
        <v>0</v>
      </c>
      <c r="P10" s="156" t="n">
        <v>0</v>
      </c>
      <c r="Q10" s="156" t="n">
        <v>0</v>
      </c>
      <c r="R10" s="156" t="n">
        <v>0</v>
      </c>
      <c r="S10" s="156" t="n">
        <v>0</v>
      </c>
      <c r="T10" s="156" t="n">
        <v>0</v>
      </c>
      <c r="U10" s="156" t="n">
        <v>0</v>
      </c>
      <c r="V10" s="156" t="n">
        <v>0</v>
      </c>
      <c r="W10" s="156" t="n">
        <v>0</v>
      </c>
      <c r="X10" s="156" t="n">
        <v>0</v>
      </c>
      <c r="Y10" s="156" t="n">
        <v>0</v>
      </c>
      <c r="Z10" s="156" t="n">
        <v>0</v>
      </c>
      <c r="AA10" s="156" t="n">
        <v>0</v>
      </c>
      <c r="AB10" s="156" t="n">
        <v>0</v>
      </c>
      <c r="AC10" s="156" t="n">
        <v>0</v>
      </c>
      <c r="AD10" s="156" t="n">
        <v>0</v>
      </c>
      <c r="AE10" s="156" t="n">
        <v>0</v>
      </c>
      <c r="AF10" s="156" t="n">
        <v>0</v>
      </c>
      <c r="AG10" s="156" t="n">
        <v>0</v>
      </c>
      <c r="AH10" s="156" t="n">
        <v>0</v>
      </c>
      <c r="AI10" s="156" t="n">
        <v>0</v>
      </c>
      <c r="AJ10" s="156" t="n">
        <v>0</v>
      </c>
      <c r="AK10" s="156" t="n">
        <v>0</v>
      </c>
      <c r="AL10" s="156" t="n">
        <v>0</v>
      </c>
      <c r="AM10" s="156" t="n">
        <v>0</v>
      </c>
      <c r="AN10" s="156" t="n">
        <v>0</v>
      </c>
      <c r="AO10" s="84"/>
      <c r="AP10" s="482" t="n">
        <f aca="false">SUM(E10:AO10)</f>
        <v>0</v>
      </c>
      <c r="AQ10" s="648" t="n">
        <f aca="false">AQ9+1</f>
        <v>4</v>
      </c>
      <c r="AR10" s="635"/>
      <c r="AS10" s="635"/>
      <c r="AT10" s="635"/>
      <c r="AU10" s="635"/>
      <c r="AV10" s="635"/>
      <c r="AW10" s="635"/>
      <c r="AX10" s="635"/>
      <c r="AY10" s="635"/>
      <c r="AZ10" s="635"/>
      <c r="BA10" s="635"/>
      <c r="BB10" s="635"/>
      <c r="BC10" s="635"/>
      <c r="BD10" s="635"/>
      <c r="BE10" s="635"/>
      <c r="BF10" s="635"/>
      <c r="BG10" s="635"/>
      <c r="BH10" s="635"/>
      <c r="BI10" s="635"/>
      <c r="BJ10" s="635"/>
      <c r="BK10" s="635"/>
      <c r="BL10" s="635"/>
      <c r="BM10" s="635"/>
      <c r="BN10" s="635"/>
      <c r="BO10" s="635"/>
      <c r="BP10" s="635"/>
      <c r="BQ10" s="635"/>
      <c r="BR10" s="635"/>
      <c r="BS10" s="635"/>
      <c r="BT10" s="635"/>
      <c r="BU10" s="635"/>
      <c r="BV10" s="635"/>
      <c r="BW10" s="635"/>
      <c r="BX10" s="635"/>
      <c r="BY10" s="635"/>
      <c r="BZ10" s="635"/>
      <c r="CA10" s="635"/>
      <c r="CB10" s="635"/>
      <c r="CC10" s="635"/>
      <c r="CD10" s="635"/>
      <c r="CE10" s="635"/>
      <c r="CF10" s="635"/>
      <c r="CG10" s="635"/>
      <c r="CH10" s="635"/>
      <c r="CI10" s="635"/>
      <c r="CJ10" s="635"/>
      <c r="CK10" s="635"/>
      <c r="CL10" s="635"/>
      <c r="CM10" s="635"/>
      <c r="CN10" s="635"/>
      <c r="CO10" s="635"/>
      <c r="CP10" s="635"/>
      <c r="CQ10" s="635"/>
      <c r="CR10" s="635"/>
      <c r="CS10" s="635"/>
      <c r="CT10" s="635"/>
      <c r="CU10" s="635"/>
      <c r="CV10" s="635"/>
      <c r="CW10" s="635"/>
      <c r="CX10" s="635"/>
      <c r="CY10" s="635"/>
      <c r="CZ10" s="635"/>
      <c r="DA10" s="635"/>
      <c r="DB10" s="635"/>
      <c r="DC10" s="635"/>
      <c r="DD10" s="635"/>
      <c r="DE10" s="635"/>
      <c r="DF10" s="635"/>
      <c r="DG10" s="635"/>
      <c r="DH10" s="635"/>
      <c r="DI10" s="635"/>
      <c r="DJ10" s="635"/>
      <c r="DK10" s="635"/>
      <c r="DL10" s="635"/>
      <c r="DM10" s="635"/>
      <c r="DN10" s="635"/>
      <c r="DO10" s="635"/>
      <c r="DP10" s="635"/>
      <c r="DQ10" s="635"/>
      <c r="DR10" s="635"/>
      <c r="DS10" s="635"/>
      <c r="DT10" s="635"/>
      <c r="DU10" s="635"/>
      <c r="DV10" s="635"/>
      <c r="DW10" s="635"/>
      <c r="DX10" s="635"/>
      <c r="DY10" s="635"/>
      <c r="DZ10" s="635"/>
      <c r="EA10" s="635"/>
      <c r="EB10" s="635"/>
      <c r="EC10" s="635"/>
      <c r="ED10" s="635"/>
      <c r="EE10" s="635"/>
      <c r="EF10" s="635"/>
      <c r="EG10" s="635"/>
      <c r="EH10" s="635"/>
      <c r="EI10" s="635"/>
      <c r="EJ10" s="635"/>
      <c r="EK10" s="635"/>
      <c r="EL10" s="635"/>
      <c r="EM10" s="635"/>
      <c r="EN10" s="635"/>
      <c r="EO10" s="635"/>
      <c r="EP10" s="635"/>
      <c r="EQ10" s="635"/>
      <c r="ER10" s="635"/>
      <c r="ES10" s="635"/>
      <c r="ET10" s="635"/>
      <c r="EU10" s="635"/>
      <c r="EV10" s="635"/>
      <c r="EW10" s="635"/>
      <c r="EX10" s="635"/>
      <c r="EY10" s="635"/>
      <c r="EZ10" s="635"/>
      <c r="FA10" s="635"/>
      <c r="FB10" s="635"/>
      <c r="FC10" s="635"/>
      <c r="FD10" s="635"/>
      <c r="FE10" s="635"/>
      <c r="FF10" s="635"/>
      <c r="FG10" s="635"/>
      <c r="FH10" s="635"/>
      <c r="FI10" s="635"/>
      <c r="FJ10" s="635"/>
      <c r="FK10" s="635"/>
      <c r="FL10" s="635"/>
      <c r="FM10" s="635"/>
      <c r="FN10" s="635"/>
      <c r="FO10" s="635"/>
      <c r="FP10" s="635"/>
      <c r="FQ10" s="635"/>
      <c r="FR10" s="635"/>
      <c r="FS10" s="635"/>
      <c r="FT10" s="635"/>
      <c r="FU10" s="635"/>
      <c r="FV10" s="635"/>
      <c r="FW10" s="635"/>
      <c r="FX10" s="635"/>
      <c r="FY10" s="635"/>
      <c r="FZ10" s="635"/>
      <c r="GA10" s="635"/>
      <c r="GB10" s="635"/>
      <c r="GC10" s="635"/>
      <c r="GD10" s="635"/>
      <c r="GE10" s="635"/>
      <c r="GF10" s="635"/>
      <c r="GG10" s="635"/>
      <c r="GH10" s="635"/>
      <c r="GI10" s="635"/>
      <c r="GJ10" s="635"/>
      <c r="GK10" s="635"/>
      <c r="GL10" s="635"/>
      <c r="GM10" s="635"/>
      <c r="GN10" s="635"/>
      <c r="GO10" s="635"/>
      <c r="GP10" s="635"/>
      <c r="GQ10" s="635"/>
      <c r="GR10" s="635"/>
      <c r="GS10" s="635"/>
      <c r="GT10" s="635"/>
      <c r="GU10" s="635"/>
      <c r="GV10" s="635"/>
      <c r="GW10" s="635"/>
      <c r="GX10" s="635"/>
      <c r="GY10" s="635"/>
      <c r="GZ10" s="635"/>
      <c r="HA10" s="635"/>
      <c r="HB10" s="635"/>
      <c r="HC10" s="635"/>
      <c r="HD10" s="635"/>
      <c r="HE10" s="635"/>
      <c r="HF10" s="635"/>
      <c r="HG10" s="635"/>
      <c r="HH10" s="635"/>
      <c r="HI10" s="635"/>
      <c r="HJ10" s="635"/>
      <c r="HK10" s="635"/>
      <c r="HL10" s="635"/>
      <c r="HM10" s="635"/>
      <c r="HN10" s="635"/>
      <c r="HO10" s="635"/>
      <c r="HP10" s="635"/>
      <c r="HQ10" s="635"/>
      <c r="HR10" s="635"/>
      <c r="HS10" s="635"/>
      <c r="HT10" s="635"/>
      <c r="HU10" s="635"/>
      <c r="HV10" s="635"/>
      <c r="HW10" s="635"/>
      <c r="HX10" s="635"/>
      <c r="HY10" s="635"/>
      <c r="HZ10" s="635"/>
      <c r="IA10" s="635"/>
      <c r="IB10" s="635"/>
      <c r="IC10" s="635"/>
      <c r="ID10" s="635"/>
      <c r="IE10" s="635"/>
      <c r="IF10" s="635"/>
      <c r="IG10" s="635"/>
      <c r="IH10" s="635"/>
      <c r="II10" s="635"/>
      <c r="IJ10" s="635"/>
      <c r="IK10" s="635"/>
      <c r="IL10" s="635"/>
      <c r="IM10" s="635"/>
      <c r="IN10" s="635"/>
      <c r="IO10" s="635"/>
      <c r="IP10" s="635"/>
      <c r="IQ10" s="635"/>
      <c r="IR10" s="635"/>
      <c r="IS10" s="635"/>
      <c r="IT10" s="635"/>
      <c r="IU10" s="635"/>
      <c r="IV10" s="635"/>
      <c r="IW10" s="635"/>
    </row>
    <row r="11" customFormat="false" ht="12.75" hidden="false" customHeight="false" outlineLevel="0" collapsed="false">
      <c r="A11" s="649" t="str">
        <f aca="false">Assm!N9</f>
        <v>Pending Change Orders</v>
      </c>
      <c r="B11" s="112"/>
      <c r="C11" s="174" t="n">
        <f aca="false">Assm!R9</f>
        <v>200.444</v>
      </c>
      <c r="D11" s="84"/>
      <c r="E11" s="156" t="n">
        <v>0</v>
      </c>
      <c r="F11" s="156" t="n">
        <v>0</v>
      </c>
      <c r="G11" s="156" t="n">
        <v>0</v>
      </c>
      <c r="H11" s="156" t="n">
        <v>0</v>
      </c>
      <c r="I11" s="156" t="n">
        <v>0</v>
      </c>
      <c r="J11" s="156" t="n">
        <v>0</v>
      </c>
      <c r="K11" s="156" t="n">
        <v>0</v>
      </c>
      <c r="L11" s="156" t="n">
        <v>0</v>
      </c>
      <c r="M11" s="156" t="n">
        <v>0</v>
      </c>
      <c r="N11" s="156" t="n">
        <v>0</v>
      </c>
      <c r="O11" s="156" t="n">
        <v>0</v>
      </c>
      <c r="P11" s="156" t="n">
        <v>0</v>
      </c>
      <c r="Q11" s="156" t="n">
        <v>0</v>
      </c>
      <c r="R11" s="156" t="n">
        <v>0</v>
      </c>
      <c r="S11" s="156" t="n">
        <v>0</v>
      </c>
      <c r="T11" s="156" t="n">
        <v>0</v>
      </c>
      <c r="U11" s="156" t="n">
        <v>0</v>
      </c>
      <c r="V11" s="156" t="n">
        <v>0</v>
      </c>
      <c r="W11" s="156" t="n">
        <v>0</v>
      </c>
      <c r="X11" s="156" t="n">
        <v>0</v>
      </c>
      <c r="Y11" s="156" t="n">
        <v>0</v>
      </c>
      <c r="Z11" s="156" t="n">
        <v>0</v>
      </c>
      <c r="AA11" s="156" t="n">
        <v>0</v>
      </c>
      <c r="AB11" s="156" t="n">
        <v>0</v>
      </c>
      <c r="AC11" s="156" t="n">
        <v>0</v>
      </c>
      <c r="AD11" s="156" t="n">
        <v>0</v>
      </c>
      <c r="AE11" s="156" t="n">
        <v>0</v>
      </c>
      <c r="AF11" s="156" t="n">
        <v>0</v>
      </c>
      <c r="AG11" s="156" t="n">
        <v>0</v>
      </c>
      <c r="AH11" s="156" t="n">
        <v>0</v>
      </c>
      <c r="AI11" s="156" t="n">
        <v>0</v>
      </c>
      <c r="AJ11" s="156" t="n">
        <v>0</v>
      </c>
      <c r="AK11" s="156" t="n">
        <v>0</v>
      </c>
      <c r="AL11" s="156" t="n">
        <v>0</v>
      </c>
      <c r="AM11" s="156" t="n">
        <v>0</v>
      </c>
      <c r="AN11" s="156" t="n">
        <v>0</v>
      </c>
      <c r="AO11" s="84"/>
      <c r="AP11" s="482" t="n">
        <f aca="false">SUM(E11:AO11)</f>
        <v>0</v>
      </c>
      <c r="AQ11" s="648" t="n">
        <f aca="false">AQ10+1</f>
        <v>5</v>
      </c>
      <c r="AR11" s="635"/>
      <c r="AS11" s="635"/>
      <c r="AT11" s="635"/>
      <c r="AU11" s="635"/>
      <c r="AV11" s="635"/>
      <c r="AW11" s="635"/>
      <c r="AX11" s="635"/>
      <c r="AY11" s="635"/>
      <c r="AZ11" s="635"/>
      <c r="BA11" s="635"/>
      <c r="BB11" s="635"/>
      <c r="BC11" s="635"/>
      <c r="BD11" s="635"/>
      <c r="BE11" s="635"/>
      <c r="BF11" s="635"/>
      <c r="BG11" s="635"/>
      <c r="BH11" s="635"/>
      <c r="BI11" s="635"/>
      <c r="BJ11" s="635"/>
      <c r="BK11" s="635"/>
      <c r="BL11" s="635"/>
      <c r="BM11" s="635"/>
      <c r="BN11" s="635"/>
      <c r="BO11" s="635"/>
      <c r="BP11" s="635"/>
      <c r="BQ11" s="635"/>
      <c r="BR11" s="635"/>
      <c r="BS11" s="635"/>
      <c r="BT11" s="635"/>
      <c r="BU11" s="635"/>
      <c r="BV11" s="635"/>
      <c r="BW11" s="635"/>
      <c r="BX11" s="635"/>
      <c r="BY11" s="635"/>
      <c r="BZ11" s="635"/>
      <c r="CA11" s="635"/>
      <c r="CB11" s="635"/>
      <c r="CC11" s="635"/>
      <c r="CD11" s="635"/>
      <c r="CE11" s="635"/>
      <c r="CF11" s="635"/>
      <c r="CG11" s="635"/>
      <c r="CH11" s="635"/>
      <c r="CI11" s="635"/>
      <c r="CJ11" s="635"/>
      <c r="CK11" s="635"/>
      <c r="CL11" s="635"/>
      <c r="CM11" s="635"/>
      <c r="CN11" s="635"/>
      <c r="CO11" s="635"/>
      <c r="CP11" s="635"/>
      <c r="CQ11" s="635"/>
      <c r="CR11" s="635"/>
      <c r="CS11" s="635"/>
      <c r="CT11" s="635"/>
      <c r="CU11" s="635"/>
      <c r="CV11" s="635"/>
      <c r="CW11" s="635"/>
      <c r="CX11" s="635"/>
      <c r="CY11" s="635"/>
      <c r="CZ11" s="635"/>
      <c r="DA11" s="635"/>
      <c r="DB11" s="635"/>
      <c r="DC11" s="635"/>
      <c r="DD11" s="635"/>
      <c r="DE11" s="635"/>
      <c r="DF11" s="635"/>
      <c r="DG11" s="635"/>
      <c r="DH11" s="635"/>
      <c r="DI11" s="635"/>
      <c r="DJ11" s="635"/>
      <c r="DK11" s="635"/>
      <c r="DL11" s="635"/>
      <c r="DM11" s="635"/>
      <c r="DN11" s="635"/>
      <c r="DO11" s="635"/>
      <c r="DP11" s="635"/>
      <c r="DQ11" s="635"/>
      <c r="DR11" s="635"/>
      <c r="DS11" s="635"/>
      <c r="DT11" s="635"/>
      <c r="DU11" s="635"/>
      <c r="DV11" s="635"/>
      <c r="DW11" s="635"/>
      <c r="DX11" s="635"/>
      <c r="DY11" s="635"/>
      <c r="DZ11" s="635"/>
      <c r="EA11" s="635"/>
      <c r="EB11" s="635"/>
      <c r="EC11" s="635"/>
      <c r="ED11" s="635"/>
      <c r="EE11" s="635"/>
      <c r="EF11" s="635"/>
      <c r="EG11" s="635"/>
      <c r="EH11" s="635"/>
      <c r="EI11" s="635"/>
      <c r="EJ11" s="635"/>
      <c r="EK11" s="635"/>
      <c r="EL11" s="635"/>
      <c r="EM11" s="635"/>
      <c r="EN11" s="635"/>
      <c r="EO11" s="635"/>
      <c r="EP11" s="635"/>
      <c r="EQ11" s="635"/>
      <c r="ER11" s="635"/>
      <c r="ES11" s="635"/>
      <c r="ET11" s="635"/>
      <c r="EU11" s="635"/>
      <c r="EV11" s="635"/>
      <c r="EW11" s="635"/>
      <c r="EX11" s="635"/>
      <c r="EY11" s="635"/>
      <c r="EZ11" s="635"/>
      <c r="FA11" s="635"/>
      <c r="FB11" s="635"/>
      <c r="FC11" s="635"/>
      <c r="FD11" s="635"/>
      <c r="FE11" s="635"/>
      <c r="FF11" s="635"/>
      <c r="FG11" s="635"/>
      <c r="FH11" s="635"/>
      <c r="FI11" s="635"/>
      <c r="FJ11" s="635"/>
      <c r="FK11" s="635"/>
      <c r="FL11" s="635"/>
      <c r="FM11" s="635"/>
      <c r="FN11" s="635"/>
      <c r="FO11" s="635"/>
      <c r="FP11" s="635"/>
      <c r="FQ11" s="635"/>
      <c r="FR11" s="635"/>
      <c r="FS11" s="635"/>
      <c r="FT11" s="635"/>
      <c r="FU11" s="635"/>
      <c r="FV11" s="635"/>
      <c r="FW11" s="635"/>
      <c r="FX11" s="635"/>
      <c r="FY11" s="635"/>
      <c r="FZ11" s="635"/>
      <c r="GA11" s="635"/>
      <c r="GB11" s="635"/>
      <c r="GC11" s="635"/>
      <c r="GD11" s="635"/>
      <c r="GE11" s="635"/>
      <c r="GF11" s="635"/>
      <c r="GG11" s="635"/>
      <c r="GH11" s="635"/>
      <c r="GI11" s="635"/>
      <c r="GJ11" s="635"/>
      <c r="GK11" s="635"/>
      <c r="GL11" s="635"/>
      <c r="GM11" s="635"/>
      <c r="GN11" s="635"/>
      <c r="GO11" s="635"/>
      <c r="GP11" s="635"/>
      <c r="GQ11" s="635"/>
      <c r="GR11" s="635"/>
      <c r="GS11" s="635"/>
      <c r="GT11" s="635"/>
      <c r="GU11" s="635"/>
      <c r="GV11" s="635"/>
      <c r="GW11" s="635"/>
      <c r="GX11" s="635"/>
      <c r="GY11" s="635"/>
      <c r="GZ11" s="635"/>
      <c r="HA11" s="635"/>
      <c r="HB11" s="635"/>
      <c r="HC11" s="635"/>
      <c r="HD11" s="635"/>
      <c r="HE11" s="635"/>
      <c r="HF11" s="635"/>
      <c r="HG11" s="635"/>
      <c r="HH11" s="635"/>
      <c r="HI11" s="635"/>
      <c r="HJ11" s="635"/>
      <c r="HK11" s="635"/>
      <c r="HL11" s="635"/>
      <c r="HM11" s="635"/>
      <c r="HN11" s="635"/>
      <c r="HO11" s="635"/>
      <c r="HP11" s="635"/>
      <c r="HQ11" s="635"/>
      <c r="HR11" s="635"/>
      <c r="HS11" s="635"/>
      <c r="HT11" s="635"/>
      <c r="HU11" s="635"/>
      <c r="HV11" s="635"/>
      <c r="HW11" s="635"/>
      <c r="HX11" s="635"/>
      <c r="HY11" s="635"/>
      <c r="HZ11" s="635"/>
      <c r="IA11" s="635"/>
      <c r="IB11" s="635"/>
      <c r="IC11" s="635"/>
      <c r="ID11" s="635"/>
      <c r="IE11" s="635"/>
      <c r="IF11" s="635"/>
      <c r="IG11" s="635"/>
      <c r="IH11" s="635"/>
      <c r="II11" s="635"/>
      <c r="IJ11" s="635"/>
      <c r="IK11" s="635"/>
      <c r="IL11" s="635"/>
      <c r="IM11" s="635"/>
      <c r="IN11" s="635"/>
      <c r="IO11" s="635"/>
      <c r="IP11" s="635"/>
      <c r="IQ11" s="635"/>
      <c r="IR11" s="635"/>
      <c r="IS11" s="635"/>
      <c r="IT11" s="635"/>
      <c r="IU11" s="635"/>
      <c r="IV11" s="635"/>
      <c r="IW11" s="635"/>
    </row>
    <row r="12" customFormat="false" ht="12.75" hidden="false" customHeight="false" outlineLevel="0" collapsed="false">
      <c r="A12" s="649" t="str">
        <f aca="false">Assm!N10</f>
        <v>Other Change Orders</v>
      </c>
      <c r="B12" s="112"/>
      <c r="C12" s="174" t="n">
        <f aca="false">Assm!R10</f>
        <v>16999</v>
      </c>
      <c r="D12" s="84"/>
      <c r="E12" s="156" t="n">
        <v>0</v>
      </c>
      <c r="F12" s="156" t="n">
        <v>0</v>
      </c>
      <c r="G12" s="156" t="n">
        <v>0</v>
      </c>
      <c r="H12" s="156" t="n">
        <v>0</v>
      </c>
      <c r="I12" s="156" t="n">
        <v>0</v>
      </c>
      <c r="J12" s="156" t="n">
        <v>0</v>
      </c>
      <c r="K12" s="156" t="n">
        <v>0</v>
      </c>
      <c r="L12" s="156" t="n">
        <v>0</v>
      </c>
      <c r="M12" s="156" t="n">
        <v>0</v>
      </c>
      <c r="N12" s="156" t="n">
        <v>0</v>
      </c>
      <c r="O12" s="156" t="n">
        <v>0</v>
      </c>
      <c r="P12" s="156" t="n">
        <v>0</v>
      </c>
      <c r="Q12" s="156" t="n">
        <v>0</v>
      </c>
      <c r="R12" s="156" t="n">
        <v>0</v>
      </c>
      <c r="S12" s="156" t="n">
        <v>0</v>
      </c>
      <c r="T12" s="156" t="n">
        <v>0</v>
      </c>
      <c r="U12" s="156" t="n">
        <v>0</v>
      </c>
      <c r="V12" s="156" t="n">
        <v>0</v>
      </c>
      <c r="W12" s="156" t="n">
        <v>0</v>
      </c>
      <c r="X12" s="156" t="n">
        <v>0</v>
      </c>
      <c r="Y12" s="156" t="n">
        <v>0</v>
      </c>
      <c r="Z12" s="156" t="n">
        <v>0</v>
      </c>
      <c r="AA12" s="156" t="n">
        <v>0</v>
      </c>
      <c r="AB12" s="156" t="n">
        <v>0</v>
      </c>
      <c r="AC12" s="156" t="n">
        <v>0</v>
      </c>
      <c r="AD12" s="156" t="n">
        <v>0</v>
      </c>
      <c r="AE12" s="156" t="n">
        <v>0</v>
      </c>
      <c r="AF12" s="156" t="n">
        <v>0</v>
      </c>
      <c r="AG12" s="156" t="n">
        <v>0</v>
      </c>
      <c r="AH12" s="156" t="n">
        <v>0</v>
      </c>
      <c r="AI12" s="156" t="n">
        <v>0</v>
      </c>
      <c r="AJ12" s="156" t="n">
        <v>0</v>
      </c>
      <c r="AK12" s="156" t="n">
        <v>0</v>
      </c>
      <c r="AL12" s="156" t="n">
        <v>0</v>
      </c>
      <c r="AM12" s="156" t="n">
        <v>0</v>
      </c>
      <c r="AN12" s="156" t="n">
        <v>0</v>
      </c>
      <c r="AO12" s="84"/>
      <c r="AP12" s="482" t="n">
        <f aca="false">SUM(E12:AO12)</f>
        <v>0</v>
      </c>
      <c r="AQ12" s="648" t="n">
        <f aca="false">AQ11+1</f>
        <v>6</v>
      </c>
      <c r="AR12" s="635"/>
      <c r="AS12" s="635"/>
      <c r="AT12" s="635"/>
      <c r="AU12" s="635"/>
      <c r="AV12" s="635"/>
      <c r="AW12" s="635"/>
      <c r="AX12" s="635"/>
      <c r="AY12" s="635"/>
      <c r="AZ12" s="635"/>
      <c r="BA12" s="635"/>
      <c r="BB12" s="635"/>
      <c r="BC12" s="635"/>
      <c r="BD12" s="635"/>
      <c r="BE12" s="635"/>
      <c r="BF12" s="635"/>
      <c r="BG12" s="635"/>
      <c r="BH12" s="635"/>
      <c r="BI12" s="635"/>
      <c r="BJ12" s="635"/>
      <c r="BK12" s="635"/>
      <c r="BL12" s="635"/>
      <c r="BM12" s="635"/>
      <c r="BN12" s="635"/>
      <c r="BO12" s="635"/>
      <c r="BP12" s="635"/>
      <c r="BQ12" s="635"/>
      <c r="BR12" s="635"/>
      <c r="BS12" s="635"/>
      <c r="BT12" s="635"/>
      <c r="BU12" s="635"/>
      <c r="BV12" s="635"/>
      <c r="BW12" s="635"/>
      <c r="BX12" s="635"/>
      <c r="BY12" s="635"/>
      <c r="BZ12" s="635"/>
      <c r="CA12" s="635"/>
      <c r="CB12" s="635"/>
      <c r="CC12" s="635"/>
      <c r="CD12" s="635"/>
      <c r="CE12" s="635"/>
      <c r="CF12" s="635"/>
      <c r="CG12" s="635"/>
      <c r="CH12" s="635"/>
      <c r="CI12" s="635"/>
      <c r="CJ12" s="635"/>
      <c r="CK12" s="635"/>
      <c r="CL12" s="635"/>
      <c r="CM12" s="635"/>
      <c r="CN12" s="635"/>
      <c r="CO12" s="635"/>
      <c r="CP12" s="635"/>
      <c r="CQ12" s="635"/>
      <c r="CR12" s="635"/>
      <c r="CS12" s="635"/>
      <c r="CT12" s="635"/>
      <c r="CU12" s="635"/>
      <c r="CV12" s="635"/>
      <c r="CW12" s="635"/>
      <c r="CX12" s="635"/>
      <c r="CY12" s="635"/>
      <c r="CZ12" s="635"/>
      <c r="DA12" s="635"/>
      <c r="DB12" s="635"/>
      <c r="DC12" s="635"/>
      <c r="DD12" s="635"/>
      <c r="DE12" s="635"/>
      <c r="DF12" s="635"/>
      <c r="DG12" s="635"/>
      <c r="DH12" s="635"/>
      <c r="DI12" s="635"/>
      <c r="DJ12" s="635"/>
      <c r="DK12" s="635"/>
      <c r="DL12" s="635"/>
      <c r="DM12" s="635"/>
      <c r="DN12" s="635"/>
      <c r="DO12" s="635"/>
      <c r="DP12" s="635"/>
      <c r="DQ12" s="635"/>
      <c r="DR12" s="635"/>
      <c r="DS12" s="635"/>
      <c r="DT12" s="635"/>
      <c r="DU12" s="635"/>
      <c r="DV12" s="635"/>
      <c r="DW12" s="635"/>
      <c r="DX12" s="635"/>
      <c r="DY12" s="635"/>
      <c r="DZ12" s="635"/>
      <c r="EA12" s="635"/>
      <c r="EB12" s="635"/>
      <c r="EC12" s="635"/>
      <c r="ED12" s="635"/>
      <c r="EE12" s="635"/>
      <c r="EF12" s="635"/>
      <c r="EG12" s="635"/>
      <c r="EH12" s="635"/>
      <c r="EI12" s="635"/>
      <c r="EJ12" s="635"/>
      <c r="EK12" s="635"/>
      <c r="EL12" s="635"/>
      <c r="EM12" s="635"/>
      <c r="EN12" s="635"/>
      <c r="EO12" s="635"/>
      <c r="EP12" s="635"/>
      <c r="EQ12" s="635"/>
      <c r="ER12" s="635"/>
      <c r="ES12" s="635"/>
      <c r="ET12" s="635"/>
      <c r="EU12" s="635"/>
      <c r="EV12" s="635"/>
      <c r="EW12" s="635"/>
      <c r="EX12" s="635"/>
      <c r="EY12" s="635"/>
      <c r="EZ12" s="635"/>
      <c r="FA12" s="635"/>
      <c r="FB12" s="635"/>
      <c r="FC12" s="635"/>
      <c r="FD12" s="635"/>
      <c r="FE12" s="635"/>
      <c r="FF12" s="635"/>
      <c r="FG12" s="635"/>
      <c r="FH12" s="635"/>
      <c r="FI12" s="635"/>
      <c r="FJ12" s="635"/>
      <c r="FK12" s="635"/>
      <c r="FL12" s="635"/>
      <c r="FM12" s="635"/>
      <c r="FN12" s="635"/>
      <c r="FO12" s="635"/>
      <c r="FP12" s="635"/>
      <c r="FQ12" s="635"/>
      <c r="FR12" s="635"/>
      <c r="FS12" s="635"/>
      <c r="FT12" s="635"/>
      <c r="FU12" s="635"/>
      <c r="FV12" s="635"/>
      <c r="FW12" s="635"/>
      <c r="FX12" s="635"/>
      <c r="FY12" s="635"/>
      <c r="FZ12" s="635"/>
      <c r="GA12" s="635"/>
      <c r="GB12" s="635"/>
      <c r="GC12" s="635"/>
      <c r="GD12" s="635"/>
      <c r="GE12" s="635"/>
      <c r="GF12" s="635"/>
      <c r="GG12" s="635"/>
      <c r="GH12" s="635"/>
      <c r="GI12" s="635"/>
      <c r="GJ12" s="635"/>
      <c r="GK12" s="635"/>
      <c r="GL12" s="635"/>
      <c r="GM12" s="635"/>
      <c r="GN12" s="635"/>
      <c r="GO12" s="635"/>
      <c r="GP12" s="635"/>
      <c r="GQ12" s="635"/>
      <c r="GR12" s="635"/>
      <c r="GS12" s="635"/>
      <c r="GT12" s="635"/>
      <c r="GU12" s="635"/>
      <c r="GV12" s="635"/>
      <c r="GW12" s="635"/>
      <c r="GX12" s="635"/>
      <c r="GY12" s="635"/>
      <c r="GZ12" s="635"/>
      <c r="HA12" s="635"/>
      <c r="HB12" s="635"/>
      <c r="HC12" s="635"/>
      <c r="HD12" s="635"/>
      <c r="HE12" s="635"/>
      <c r="HF12" s="635"/>
      <c r="HG12" s="635"/>
      <c r="HH12" s="635"/>
      <c r="HI12" s="635"/>
      <c r="HJ12" s="635"/>
      <c r="HK12" s="635"/>
      <c r="HL12" s="635"/>
      <c r="HM12" s="635"/>
      <c r="HN12" s="635"/>
      <c r="HO12" s="635"/>
      <c r="HP12" s="635"/>
      <c r="HQ12" s="635"/>
      <c r="HR12" s="635"/>
      <c r="HS12" s="635"/>
      <c r="HT12" s="635"/>
      <c r="HU12" s="635"/>
      <c r="HV12" s="635"/>
      <c r="HW12" s="635"/>
      <c r="HX12" s="635"/>
      <c r="HY12" s="635"/>
      <c r="HZ12" s="635"/>
      <c r="IA12" s="635"/>
      <c r="IB12" s="635"/>
      <c r="IC12" s="635"/>
      <c r="ID12" s="635"/>
      <c r="IE12" s="635"/>
      <c r="IF12" s="635"/>
      <c r="IG12" s="635"/>
      <c r="IH12" s="635"/>
      <c r="II12" s="635"/>
      <c r="IJ12" s="635"/>
      <c r="IK12" s="635"/>
      <c r="IL12" s="635"/>
      <c r="IM12" s="635"/>
      <c r="IN12" s="635"/>
      <c r="IO12" s="635"/>
      <c r="IP12" s="635"/>
      <c r="IQ12" s="635"/>
      <c r="IR12" s="635"/>
      <c r="IS12" s="635"/>
      <c r="IT12" s="635"/>
      <c r="IU12" s="635"/>
      <c r="IV12" s="635"/>
      <c r="IW12" s="635"/>
    </row>
    <row r="13" customFormat="false" ht="12.75" hidden="false" customHeight="false" outlineLevel="0" collapsed="false">
      <c r="A13" s="649" t="str">
        <f aca="false">Assm!N11</f>
        <v>Onshore Payment Adjustment</v>
      </c>
      <c r="B13" s="112"/>
      <c r="C13" s="174" t="n">
        <f aca="false">Assm!R11</f>
        <v>-179.149</v>
      </c>
      <c r="D13" s="84"/>
      <c r="E13" s="156" t="n">
        <v>0</v>
      </c>
      <c r="F13" s="156" t="n">
        <v>0</v>
      </c>
      <c r="G13" s="156" t="n">
        <v>0</v>
      </c>
      <c r="H13" s="156" t="n">
        <v>0</v>
      </c>
      <c r="I13" s="156" t="n">
        <v>0</v>
      </c>
      <c r="J13" s="156" t="n">
        <v>0</v>
      </c>
      <c r="K13" s="156" t="n">
        <v>0</v>
      </c>
      <c r="L13" s="156" t="n">
        <v>0</v>
      </c>
      <c r="M13" s="156" t="n">
        <v>0</v>
      </c>
      <c r="N13" s="156" t="n">
        <v>0</v>
      </c>
      <c r="O13" s="156" t="n">
        <v>0</v>
      </c>
      <c r="P13" s="156" t="n">
        <v>0</v>
      </c>
      <c r="Q13" s="156" t="n">
        <v>0</v>
      </c>
      <c r="R13" s="156" t="n">
        <v>0</v>
      </c>
      <c r="S13" s="156" t="n">
        <v>0</v>
      </c>
      <c r="T13" s="156" t="n">
        <v>0</v>
      </c>
      <c r="U13" s="156" t="n">
        <v>0</v>
      </c>
      <c r="V13" s="156" t="n">
        <v>0</v>
      </c>
      <c r="W13" s="156" t="n">
        <v>0</v>
      </c>
      <c r="X13" s="156" t="n">
        <v>0</v>
      </c>
      <c r="Y13" s="156" t="n">
        <v>0</v>
      </c>
      <c r="Z13" s="156" t="n">
        <v>0</v>
      </c>
      <c r="AA13" s="156" t="n">
        <v>0</v>
      </c>
      <c r="AB13" s="156" t="n">
        <v>0</v>
      </c>
      <c r="AC13" s="156" t="n">
        <v>0</v>
      </c>
      <c r="AD13" s="156" t="n">
        <v>0</v>
      </c>
      <c r="AE13" s="156" t="n">
        <v>0</v>
      </c>
      <c r="AF13" s="156" t="n">
        <v>0</v>
      </c>
      <c r="AG13" s="156" t="n">
        <v>0</v>
      </c>
      <c r="AH13" s="156" t="n">
        <v>0</v>
      </c>
      <c r="AI13" s="156" t="n">
        <v>0</v>
      </c>
      <c r="AJ13" s="156" t="n">
        <v>0</v>
      </c>
      <c r="AK13" s="156" t="n">
        <v>0</v>
      </c>
      <c r="AL13" s="156" t="n">
        <v>0</v>
      </c>
      <c r="AM13" s="156" t="n">
        <v>0</v>
      </c>
      <c r="AN13" s="156" t="n">
        <v>0</v>
      </c>
      <c r="AO13" s="84"/>
      <c r="AP13" s="482" t="n">
        <f aca="false">SUM(E13:AO13)</f>
        <v>0</v>
      </c>
      <c r="AQ13" s="648" t="n">
        <f aca="false">AQ12+1</f>
        <v>7</v>
      </c>
      <c r="AR13" s="635"/>
      <c r="AS13" s="635"/>
      <c r="AT13" s="635"/>
      <c r="AU13" s="635"/>
      <c r="AV13" s="635"/>
      <c r="AW13" s="635"/>
      <c r="AX13" s="635"/>
      <c r="AY13" s="635"/>
      <c r="AZ13" s="635"/>
      <c r="BA13" s="635"/>
      <c r="BB13" s="635"/>
      <c r="BC13" s="635"/>
      <c r="BD13" s="635"/>
      <c r="BE13" s="635"/>
      <c r="BF13" s="635"/>
      <c r="BG13" s="635"/>
      <c r="BH13" s="635"/>
      <c r="BI13" s="635"/>
      <c r="BJ13" s="635"/>
      <c r="BK13" s="635"/>
      <c r="BL13" s="635"/>
      <c r="BM13" s="635"/>
      <c r="BN13" s="635"/>
      <c r="BO13" s="635"/>
      <c r="BP13" s="635"/>
      <c r="BQ13" s="635"/>
      <c r="BR13" s="635"/>
      <c r="BS13" s="635"/>
      <c r="BT13" s="635"/>
      <c r="BU13" s="635"/>
      <c r="BV13" s="635"/>
      <c r="BW13" s="635"/>
      <c r="BX13" s="635"/>
      <c r="BY13" s="635"/>
      <c r="BZ13" s="635"/>
      <c r="CA13" s="635"/>
      <c r="CB13" s="635"/>
      <c r="CC13" s="635"/>
      <c r="CD13" s="635"/>
      <c r="CE13" s="635"/>
      <c r="CF13" s="635"/>
      <c r="CG13" s="635"/>
      <c r="CH13" s="635"/>
      <c r="CI13" s="635"/>
      <c r="CJ13" s="635"/>
      <c r="CK13" s="635"/>
      <c r="CL13" s="635"/>
      <c r="CM13" s="635"/>
      <c r="CN13" s="635"/>
      <c r="CO13" s="635"/>
      <c r="CP13" s="635"/>
      <c r="CQ13" s="635"/>
      <c r="CR13" s="635"/>
      <c r="CS13" s="635"/>
      <c r="CT13" s="635"/>
      <c r="CU13" s="635"/>
      <c r="CV13" s="635"/>
      <c r="CW13" s="635"/>
      <c r="CX13" s="635"/>
      <c r="CY13" s="635"/>
      <c r="CZ13" s="635"/>
      <c r="DA13" s="635"/>
      <c r="DB13" s="635"/>
      <c r="DC13" s="635"/>
      <c r="DD13" s="635"/>
      <c r="DE13" s="635"/>
      <c r="DF13" s="635"/>
      <c r="DG13" s="635"/>
      <c r="DH13" s="635"/>
      <c r="DI13" s="635"/>
      <c r="DJ13" s="635"/>
      <c r="DK13" s="635"/>
      <c r="DL13" s="635"/>
      <c r="DM13" s="635"/>
      <c r="DN13" s="635"/>
      <c r="DO13" s="635"/>
      <c r="DP13" s="635"/>
      <c r="DQ13" s="635"/>
      <c r="DR13" s="635"/>
      <c r="DS13" s="635"/>
      <c r="DT13" s="635"/>
      <c r="DU13" s="635"/>
      <c r="DV13" s="635"/>
      <c r="DW13" s="635"/>
      <c r="DX13" s="635"/>
      <c r="DY13" s="635"/>
      <c r="DZ13" s="635"/>
      <c r="EA13" s="635"/>
      <c r="EB13" s="635"/>
      <c r="EC13" s="635"/>
      <c r="ED13" s="635"/>
      <c r="EE13" s="635"/>
      <c r="EF13" s="635"/>
      <c r="EG13" s="635"/>
      <c r="EH13" s="635"/>
      <c r="EI13" s="635"/>
      <c r="EJ13" s="635"/>
      <c r="EK13" s="635"/>
      <c r="EL13" s="635"/>
      <c r="EM13" s="635"/>
      <c r="EN13" s="635"/>
      <c r="EO13" s="635"/>
      <c r="EP13" s="635"/>
      <c r="EQ13" s="635"/>
      <c r="ER13" s="635"/>
      <c r="ES13" s="635"/>
      <c r="ET13" s="635"/>
      <c r="EU13" s="635"/>
      <c r="EV13" s="635"/>
      <c r="EW13" s="635"/>
      <c r="EX13" s="635"/>
      <c r="EY13" s="635"/>
      <c r="EZ13" s="635"/>
      <c r="FA13" s="635"/>
      <c r="FB13" s="635"/>
      <c r="FC13" s="635"/>
      <c r="FD13" s="635"/>
      <c r="FE13" s="635"/>
      <c r="FF13" s="635"/>
      <c r="FG13" s="635"/>
      <c r="FH13" s="635"/>
      <c r="FI13" s="635"/>
      <c r="FJ13" s="635"/>
      <c r="FK13" s="635"/>
      <c r="FL13" s="635"/>
      <c r="FM13" s="635"/>
      <c r="FN13" s="635"/>
      <c r="FO13" s="635"/>
      <c r="FP13" s="635"/>
      <c r="FQ13" s="635"/>
      <c r="FR13" s="635"/>
      <c r="FS13" s="635"/>
      <c r="FT13" s="635"/>
      <c r="FU13" s="635"/>
      <c r="FV13" s="635"/>
      <c r="FW13" s="635"/>
      <c r="FX13" s="635"/>
      <c r="FY13" s="635"/>
      <c r="FZ13" s="635"/>
      <c r="GA13" s="635"/>
      <c r="GB13" s="635"/>
      <c r="GC13" s="635"/>
      <c r="GD13" s="635"/>
      <c r="GE13" s="635"/>
      <c r="GF13" s="635"/>
      <c r="GG13" s="635"/>
      <c r="GH13" s="635"/>
      <c r="GI13" s="635"/>
      <c r="GJ13" s="635"/>
      <c r="GK13" s="635"/>
      <c r="GL13" s="635"/>
      <c r="GM13" s="635"/>
      <c r="GN13" s="635"/>
      <c r="GO13" s="635"/>
      <c r="GP13" s="635"/>
      <c r="GQ13" s="635"/>
      <c r="GR13" s="635"/>
      <c r="GS13" s="635"/>
      <c r="GT13" s="635"/>
      <c r="GU13" s="635"/>
      <c r="GV13" s="635"/>
      <c r="GW13" s="635"/>
      <c r="GX13" s="635"/>
      <c r="GY13" s="635"/>
      <c r="GZ13" s="635"/>
      <c r="HA13" s="635"/>
      <c r="HB13" s="635"/>
      <c r="HC13" s="635"/>
      <c r="HD13" s="635"/>
      <c r="HE13" s="635"/>
      <c r="HF13" s="635"/>
      <c r="HG13" s="635"/>
      <c r="HH13" s="635"/>
      <c r="HI13" s="635"/>
      <c r="HJ13" s="635"/>
      <c r="HK13" s="635"/>
      <c r="HL13" s="635"/>
      <c r="HM13" s="635"/>
      <c r="HN13" s="635"/>
      <c r="HO13" s="635"/>
      <c r="HP13" s="635"/>
      <c r="HQ13" s="635"/>
      <c r="HR13" s="635"/>
      <c r="HS13" s="635"/>
      <c r="HT13" s="635"/>
      <c r="HU13" s="635"/>
      <c r="HV13" s="635"/>
      <c r="HW13" s="635"/>
      <c r="HX13" s="635"/>
      <c r="HY13" s="635"/>
      <c r="HZ13" s="635"/>
      <c r="IA13" s="635"/>
      <c r="IB13" s="635"/>
      <c r="IC13" s="635"/>
      <c r="ID13" s="635"/>
      <c r="IE13" s="635"/>
      <c r="IF13" s="635"/>
      <c r="IG13" s="635"/>
      <c r="IH13" s="635"/>
      <c r="II13" s="635"/>
      <c r="IJ13" s="635"/>
      <c r="IK13" s="635"/>
      <c r="IL13" s="635"/>
      <c r="IM13" s="635"/>
      <c r="IN13" s="635"/>
      <c r="IO13" s="635"/>
      <c r="IP13" s="635"/>
      <c r="IQ13" s="635"/>
      <c r="IR13" s="635"/>
      <c r="IS13" s="635"/>
      <c r="IT13" s="635"/>
      <c r="IU13" s="635"/>
      <c r="IV13" s="635"/>
      <c r="IW13" s="635"/>
    </row>
    <row r="14" customFormat="false" ht="12.75" hidden="false" customHeight="false" outlineLevel="0" collapsed="false">
      <c r="A14" s="649" t="str">
        <f aca="false">Assm!N12</f>
        <v>Turnkey Tax Adjustment (0=Off, 1=On)</v>
      </c>
      <c r="B14" s="112"/>
      <c r="C14" s="484" t="n">
        <f aca="false">Assm!R12</f>
        <v>1136.78274194118</v>
      </c>
      <c r="D14" s="651"/>
      <c r="E14" s="177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 t="n">
        <v>0</v>
      </c>
      <c r="K14" s="177" t="n">
        <v>0</v>
      </c>
      <c r="L14" s="177" t="n">
        <v>0</v>
      </c>
      <c r="M14" s="177" t="n">
        <v>0</v>
      </c>
      <c r="N14" s="177" t="n">
        <v>0</v>
      </c>
      <c r="O14" s="177" t="n">
        <v>0</v>
      </c>
      <c r="P14" s="177" t="n">
        <v>0</v>
      </c>
      <c r="Q14" s="177" t="n">
        <v>0</v>
      </c>
      <c r="R14" s="177" t="n">
        <v>0</v>
      </c>
      <c r="S14" s="177" t="n">
        <v>0</v>
      </c>
      <c r="T14" s="177" t="n">
        <v>0</v>
      </c>
      <c r="U14" s="177" t="n">
        <v>0</v>
      </c>
      <c r="V14" s="177" t="n">
        <v>0</v>
      </c>
      <c r="W14" s="177" t="n">
        <v>0</v>
      </c>
      <c r="X14" s="177" t="n">
        <v>0</v>
      </c>
      <c r="Y14" s="177" t="n">
        <v>0</v>
      </c>
      <c r="Z14" s="177" t="n">
        <v>0</v>
      </c>
      <c r="AA14" s="177" t="n">
        <v>0</v>
      </c>
      <c r="AB14" s="177" t="n">
        <v>0</v>
      </c>
      <c r="AC14" s="177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651"/>
      <c r="AP14" s="485" t="n">
        <f aca="false">SUM(E14:AO14)</f>
        <v>0</v>
      </c>
      <c r="AQ14" s="648" t="n">
        <f aca="false">AQ13+1</f>
        <v>8</v>
      </c>
      <c r="AR14" s="635"/>
      <c r="AS14" s="635"/>
      <c r="AT14" s="635"/>
      <c r="AU14" s="635"/>
      <c r="AV14" s="635"/>
      <c r="AW14" s="635"/>
      <c r="AX14" s="635"/>
      <c r="AY14" s="635"/>
      <c r="AZ14" s="635"/>
      <c r="BA14" s="635"/>
      <c r="BB14" s="635"/>
      <c r="BC14" s="635"/>
      <c r="BD14" s="635"/>
      <c r="BE14" s="635"/>
      <c r="BF14" s="635"/>
      <c r="BG14" s="635"/>
      <c r="BH14" s="635"/>
      <c r="BI14" s="635"/>
      <c r="BJ14" s="635"/>
      <c r="BK14" s="635"/>
      <c r="BL14" s="635"/>
      <c r="BM14" s="635"/>
      <c r="BN14" s="635"/>
      <c r="BO14" s="635"/>
      <c r="BP14" s="635"/>
      <c r="BQ14" s="635"/>
      <c r="BR14" s="635"/>
      <c r="BS14" s="635"/>
      <c r="BT14" s="635"/>
      <c r="BU14" s="635"/>
      <c r="BV14" s="635"/>
      <c r="BW14" s="635"/>
      <c r="BX14" s="635"/>
      <c r="BY14" s="635"/>
      <c r="BZ14" s="635"/>
      <c r="CA14" s="635"/>
      <c r="CB14" s="635"/>
      <c r="CC14" s="635"/>
      <c r="CD14" s="635"/>
      <c r="CE14" s="635"/>
      <c r="CF14" s="635"/>
      <c r="CG14" s="635"/>
      <c r="CH14" s="635"/>
      <c r="CI14" s="635"/>
      <c r="CJ14" s="635"/>
      <c r="CK14" s="635"/>
      <c r="CL14" s="635"/>
      <c r="CM14" s="635"/>
      <c r="CN14" s="635"/>
      <c r="CO14" s="635"/>
      <c r="CP14" s="635"/>
      <c r="CQ14" s="635"/>
      <c r="CR14" s="635"/>
      <c r="CS14" s="635"/>
      <c r="CT14" s="635"/>
      <c r="CU14" s="635"/>
      <c r="CV14" s="635"/>
      <c r="CW14" s="635"/>
      <c r="CX14" s="635"/>
      <c r="CY14" s="635"/>
      <c r="CZ14" s="635"/>
      <c r="DA14" s="635"/>
      <c r="DB14" s="635"/>
      <c r="DC14" s="635"/>
      <c r="DD14" s="635"/>
      <c r="DE14" s="635"/>
      <c r="DF14" s="635"/>
      <c r="DG14" s="635"/>
      <c r="DH14" s="635"/>
      <c r="DI14" s="635"/>
      <c r="DJ14" s="635"/>
      <c r="DK14" s="635"/>
      <c r="DL14" s="635"/>
      <c r="DM14" s="635"/>
      <c r="DN14" s="635"/>
      <c r="DO14" s="635"/>
      <c r="DP14" s="635"/>
      <c r="DQ14" s="635"/>
      <c r="DR14" s="635"/>
      <c r="DS14" s="635"/>
      <c r="DT14" s="635"/>
      <c r="DU14" s="635"/>
      <c r="DV14" s="635"/>
      <c r="DW14" s="635"/>
      <c r="DX14" s="635"/>
      <c r="DY14" s="635"/>
      <c r="DZ14" s="635"/>
      <c r="EA14" s="635"/>
      <c r="EB14" s="635"/>
      <c r="EC14" s="635"/>
      <c r="ED14" s="635"/>
      <c r="EE14" s="635"/>
      <c r="EF14" s="635"/>
      <c r="EG14" s="635"/>
      <c r="EH14" s="635"/>
      <c r="EI14" s="635"/>
      <c r="EJ14" s="635"/>
      <c r="EK14" s="635"/>
      <c r="EL14" s="635"/>
      <c r="EM14" s="635"/>
      <c r="EN14" s="635"/>
      <c r="EO14" s="635"/>
      <c r="EP14" s="635"/>
      <c r="EQ14" s="635"/>
      <c r="ER14" s="635"/>
      <c r="ES14" s="635"/>
      <c r="ET14" s="635"/>
      <c r="EU14" s="635"/>
      <c r="EV14" s="635"/>
      <c r="EW14" s="635"/>
      <c r="EX14" s="635"/>
      <c r="EY14" s="635"/>
      <c r="EZ14" s="635"/>
      <c r="FA14" s="635"/>
      <c r="FB14" s="635"/>
      <c r="FC14" s="635"/>
      <c r="FD14" s="635"/>
      <c r="FE14" s="635"/>
      <c r="FF14" s="635"/>
      <c r="FG14" s="635"/>
      <c r="FH14" s="635"/>
      <c r="FI14" s="635"/>
      <c r="FJ14" s="635"/>
      <c r="FK14" s="635"/>
      <c r="FL14" s="635"/>
      <c r="FM14" s="635"/>
      <c r="FN14" s="635"/>
      <c r="FO14" s="635"/>
      <c r="FP14" s="635"/>
      <c r="FQ14" s="635"/>
      <c r="FR14" s="635"/>
      <c r="FS14" s="635"/>
      <c r="FT14" s="635"/>
      <c r="FU14" s="635"/>
      <c r="FV14" s="635"/>
      <c r="FW14" s="635"/>
      <c r="FX14" s="635"/>
      <c r="FY14" s="635"/>
      <c r="FZ14" s="635"/>
      <c r="GA14" s="635"/>
      <c r="GB14" s="635"/>
      <c r="GC14" s="635"/>
      <c r="GD14" s="635"/>
      <c r="GE14" s="635"/>
      <c r="GF14" s="635"/>
      <c r="GG14" s="635"/>
      <c r="GH14" s="635"/>
      <c r="GI14" s="635"/>
      <c r="GJ14" s="635"/>
      <c r="GK14" s="635"/>
      <c r="GL14" s="635"/>
      <c r="GM14" s="635"/>
      <c r="GN14" s="635"/>
      <c r="GO14" s="635"/>
      <c r="GP14" s="635"/>
      <c r="GQ14" s="635"/>
      <c r="GR14" s="635"/>
      <c r="GS14" s="635"/>
      <c r="GT14" s="635"/>
      <c r="GU14" s="635"/>
      <c r="GV14" s="635"/>
      <c r="GW14" s="635"/>
      <c r="GX14" s="635"/>
      <c r="GY14" s="635"/>
      <c r="GZ14" s="635"/>
      <c r="HA14" s="635"/>
      <c r="HB14" s="635"/>
      <c r="HC14" s="635"/>
      <c r="HD14" s="635"/>
      <c r="HE14" s="635"/>
      <c r="HF14" s="635"/>
      <c r="HG14" s="635"/>
      <c r="HH14" s="635"/>
      <c r="HI14" s="635"/>
      <c r="HJ14" s="635"/>
      <c r="HK14" s="635"/>
      <c r="HL14" s="635"/>
      <c r="HM14" s="635"/>
      <c r="HN14" s="635"/>
      <c r="HO14" s="635"/>
      <c r="HP14" s="635"/>
      <c r="HQ14" s="635"/>
      <c r="HR14" s="635"/>
      <c r="HS14" s="635"/>
      <c r="HT14" s="635"/>
      <c r="HU14" s="635"/>
      <c r="HV14" s="635"/>
      <c r="HW14" s="635"/>
      <c r="HX14" s="635"/>
      <c r="HY14" s="635"/>
      <c r="HZ14" s="635"/>
      <c r="IA14" s="635"/>
      <c r="IB14" s="635"/>
      <c r="IC14" s="635"/>
      <c r="ID14" s="635"/>
      <c r="IE14" s="635"/>
      <c r="IF14" s="635"/>
      <c r="IG14" s="635"/>
      <c r="IH14" s="635"/>
      <c r="II14" s="635"/>
      <c r="IJ14" s="635"/>
      <c r="IK14" s="635"/>
      <c r="IL14" s="635"/>
      <c r="IM14" s="635"/>
      <c r="IN14" s="635"/>
      <c r="IO14" s="635"/>
      <c r="IP14" s="635"/>
      <c r="IQ14" s="635"/>
      <c r="IR14" s="635"/>
      <c r="IS14" s="635"/>
      <c r="IT14" s="635"/>
      <c r="IU14" s="635"/>
      <c r="IV14" s="635"/>
      <c r="IW14" s="635"/>
    </row>
    <row r="15" customFormat="false" ht="12.75" hidden="false" customHeight="false" outlineLevel="0" collapsed="false">
      <c r="A15" s="649" t="str">
        <f aca="false">Assm!N13</f>
        <v>Total Turnkey Construction</v>
      </c>
      <c r="B15" s="112"/>
      <c r="C15" s="174" t="n">
        <f aca="false">SUM(C9:C14)</f>
        <v>90202.1577419412</v>
      </c>
      <c r="D15" s="84"/>
      <c r="E15" s="174" t="n">
        <f aca="false">SUM(E9:E14)</f>
        <v>0</v>
      </c>
      <c r="F15" s="174" t="n">
        <f aca="false">SUM(F9:F14)</f>
        <v>0</v>
      </c>
      <c r="G15" s="174" t="n">
        <f aca="false">SUM(G9:G14)</f>
        <v>10.6849611063094</v>
      </c>
      <c r="H15" s="174" t="n">
        <f aca="false">SUM(H9:H14)</f>
        <v>0</v>
      </c>
      <c r="I15" s="174" t="n">
        <f aca="false">SUM(I9:I14)</f>
        <v>0</v>
      </c>
      <c r="J15" s="174" t="n">
        <f aca="false">SUM(J9:J14)</f>
        <v>0</v>
      </c>
      <c r="K15" s="174" t="n">
        <f aca="false">SUM(K9:K14)</f>
        <v>0</v>
      </c>
      <c r="L15" s="174" t="n">
        <f aca="false">SUM(L9:L14)</f>
        <v>0</v>
      </c>
      <c r="M15" s="174" t="n">
        <f aca="false">SUM(M9:M14)</f>
        <v>2865.49513347704</v>
      </c>
      <c r="N15" s="174" t="n">
        <f aca="false">SUM(N9:N14)</f>
        <v>3744.66842639594</v>
      </c>
      <c r="O15" s="174" t="n">
        <f aca="false">SUM(O9:O14)</f>
        <v>4163.2945563735</v>
      </c>
      <c r="P15" s="174" t="n">
        <f aca="false">SUM(P9:P14)</f>
        <v>4.51002227171492</v>
      </c>
      <c r="Q15" s="174" t="n">
        <f aca="false">SUM(Q9:Q14)</f>
        <v>2726.19693768546</v>
      </c>
      <c r="R15" s="174" t="n">
        <f aca="false">SUM(R9:R14)</f>
        <v>779.560295823666</v>
      </c>
      <c r="S15" s="174" t="n">
        <f aca="false">SUM(S9:S14)</f>
        <v>6266.58487366265</v>
      </c>
      <c r="T15" s="174" t="n">
        <f aca="false">SUM(T9:T14)</f>
        <v>11822.9610743802</v>
      </c>
      <c r="U15" s="174" t="n">
        <f aca="false">SUM(U9:U14)</f>
        <v>405.972702124328</v>
      </c>
      <c r="V15" s="174" t="n">
        <f aca="false">SUM(V9:V14)</f>
        <v>2078.86558809759</v>
      </c>
      <c r="W15" s="174" t="n">
        <f aca="false">SUM(W9:W14)</f>
        <v>260.695340501792</v>
      </c>
      <c r="X15" s="174" t="n">
        <f aca="false">SUM(X9:X14)</f>
        <v>4734.60966349405</v>
      </c>
      <c r="Y15" s="174" t="n">
        <f aca="false">SUM(Y9:Y14)</f>
        <v>8598.02403577418</v>
      </c>
      <c r="Z15" s="174" t="n">
        <f aca="false">SUM(Z9:Z14)</f>
        <v>2412.24789169996</v>
      </c>
      <c r="AA15" s="174" t="n">
        <f aca="false">SUM(AA9:AA14)</f>
        <v>4236.38803687879</v>
      </c>
      <c r="AB15" s="174" t="n">
        <f aca="false">SUM(AB9:AB14)</f>
        <v>572.311566416757</v>
      </c>
      <c r="AC15" s="174" t="n">
        <f aca="false">SUM(AC9:AC14)</f>
        <v>3835.45407064192</v>
      </c>
      <c r="AD15" s="174" t="n">
        <f aca="false">SUM(AD9:AD14)</f>
        <v>3835.45407064192</v>
      </c>
      <c r="AE15" s="174" t="n">
        <f aca="false">SUM(AE9:AE14)</f>
        <v>3835.45407064192</v>
      </c>
      <c r="AF15" s="174" t="n">
        <f aca="false">SUM(AF9:AF14)</f>
        <v>3835.45407064192</v>
      </c>
      <c r="AG15" s="174" t="n">
        <f aca="false">SUM(AG9:AG14)</f>
        <v>3835.45407064192</v>
      </c>
      <c r="AH15" s="174" t="n">
        <f aca="false">SUM(AH9:AH14)</f>
        <v>3835.45407064192</v>
      </c>
      <c r="AI15" s="174" t="n">
        <f aca="false">SUM(AI9:AI14)</f>
        <v>3835.45407064192</v>
      </c>
      <c r="AJ15" s="174" t="n">
        <f aca="false">SUM(AJ9:AJ14)</f>
        <v>3835.45407064192</v>
      </c>
      <c r="AK15" s="174" t="n">
        <f aca="false">SUM(AK9:AK14)</f>
        <v>3835.45407064192</v>
      </c>
      <c r="AL15" s="174" t="n">
        <f aca="false">SUM(AL9:AL14)</f>
        <v>0</v>
      </c>
      <c r="AM15" s="174" t="n">
        <f aca="false">SUM(AM9:AM14)</f>
        <v>0</v>
      </c>
      <c r="AN15" s="174" t="n">
        <f aca="false">SUM(AN9:AN14)</f>
        <v>0</v>
      </c>
      <c r="AO15" s="84"/>
      <c r="AP15" s="482" t="n">
        <f aca="false">SUM(E15:AO15)</f>
        <v>90202.1577419412</v>
      </c>
      <c r="AQ15" s="648" t="n">
        <f aca="false">AQ14+1</f>
        <v>9</v>
      </c>
      <c r="AR15" s="635"/>
      <c r="AS15" s="635"/>
      <c r="AT15" s="635"/>
      <c r="AU15" s="635"/>
      <c r="AV15" s="635"/>
      <c r="AW15" s="635"/>
      <c r="AX15" s="635"/>
      <c r="AY15" s="635"/>
      <c r="AZ15" s="635"/>
      <c r="BA15" s="635"/>
      <c r="BB15" s="635"/>
      <c r="BC15" s="635"/>
      <c r="BD15" s="635"/>
      <c r="BE15" s="635"/>
      <c r="BF15" s="635"/>
      <c r="BG15" s="635"/>
      <c r="BH15" s="635"/>
      <c r="BI15" s="635"/>
      <c r="BJ15" s="635"/>
      <c r="BK15" s="635"/>
      <c r="BL15" s="635"/>
      <c r="BM15" s="635"/>
      <c r="BN15" s="635"/>
      <c r="BO15" s="635"/>
      <c r="BP15" s="635"/>
      <c r="BQ15" s="635"/>
      <c r="BR15" s="635"/>
      <c r="BS15" s="635"/>
      <c r="BT15" s="635"/>
      <c r="BU15" s="635"/>
      <c r="BV15" s="635"/>
      <c r="BW15" s="635"/>
      <c r="BX15" s="635"/>
      <c r="BY15" s="635"/>
      <c r="BZ15" s="635"/>
      <c r="CA15" s="635"/>
      <c r="CB15" s="635"/>
      <c r="CC15" s="635"/>
      <c r="CD15" s="635"/>
      <c r="CE15" s="635"/>
      <c r="CF15" s="635"/>
      <c r="CG15" s="635"/>
      <c r="CH15" s="635"/>
      <c r="CI15" s="635"/>
      <c r="CJ15" s="635"/>
      <c r="CK15" s="635"/>
      <c r="CL15" s="635"/>
      <c r="CM15" s="635"/>
      <c r="CN15" s="635"/>
      <c r="CO15" s="635"/>
      <c r="CP15" s="635"/>
      <c r="CQ15" s="635"/>
      <c r="CR15" s="635"/>
      <c r="CS15" s="635"/>
      <c r="CT15" s="635"/>
      <c r="CU15" s="635"/>
      <c r="CV15" s="635"/>
      <c r="CW15" s="635"/>
      <c r="CX15" s="635"/>
      <c r="CY15" s="635"/>
      <c r="CZ15" s="635"/>
      <c r="DA15" s="635"/>
      <c r="DB15" s="635"/>
      <c r="DC15" s="635"/>
      <c r="DD15" s="635"/>
      <c r="DE15" s="635"/>
      <c r="DF15" s="635"/>
      <c r="DG15" s="635"/>
      <c r="DH15" s="635"/>
      <c r="DI15" s="635"/>
      <c r="DJ15" s="635"/>
      <c r="DK15" s="635"/>
      <c r="DL15" s="635"/>
      <c r="DM15" s="635"/>
      <c r="DN15" s="635"/>
      <c r="DO15" s="635"/>
      <c r="DP15" s="635"/>
      <c r="DQ15" s="635"/>
      <c r="DR15" s="635"/>
      <c r="DS15" s="635"/>
      <c r="DT15" s="635"/>
      <c r="DU15" s="635"/>
      <c r="DV15" s="635"/>
      <c r="DW15" s="635"/>
      <c r="DX15" s="635"/>
      <c r="DY15" s="635"/>
      <c r="DZ15" s="635"/>
      <c r="EA15" s="635"/>
      <c r="EB15" s="635"/>
      <c r="EC15" s="635"/>
      <c r="ED15" s="635"/>
      <c r="EE15" s="635"/>
      <c r="EF15" s="635"/>
      <c r="EG15" s="635"/>
      <c r="EH15" s="635"/>
      <c r="EI15" s="635"/>
      <c r="EJ15" s="635"/>
      <c r="EK15" s="635"/>
      <c r="EL15" s="635"/>
      <c r="EM15" s="635"/>
      <c r="EN15" s="635"/>
      <c r="EO15" s="635"/>
      <c r="EP15" s="635"/>
      <c r="EQ15" s="635"/>
      <c r="ER15" s="635"/>
      <c r="ES15" s="635"/>
      <c r="ET15" s="635"/>
      <c r="EU15" s="635"/>
      <c r="EV15" s="635"/>
      <c r="EW15" s="635"/>
      <c r="EX15" s="635"/>
      <c r="EY15" s="635"/>
      <c r="EZ15" s="635"/>
      <c r="FA15" s="635"/>
      <c r="FB15" s="635"/>
      <c r="FC15" s="635"/>
      <c r="FD15" s="635"/>
      <c r="FE15" s="635"/>
      <c r="FF15" s="635"/>
      <c r="FG15" s="635"/>
      <c r="FH15" s="635"/>
      <c r="FI15" s="635"/>
      <c r="FJ15" s="635"/>
      <c r="FK15" s="635"/>
      <c r="FL15" s="635"/>
      <c r="FM15" s="635"/>
      <c r="FN15" s="635"/>
      <c r="FO15" s="635"/>
      <c r="FP15" s="635"/>
      <c r="FQ15" s="635"/>
      <c r="FR15" s="635"/>
      <c r="FS15" s="635"/>
      <c r="FT15" s="635"/>
      <c r="FU15" s="635"/>
      <c r="FV15" s="635"/>
      <c r="FW15" s="635"/>
      <c r="FX15" s="635"/>
      <c r="FY15" s="635"/>
      <c r="FZ15" s="635"/>
      <c r="GA15" s="635"/>
      <c r="GB15" s="635"/>
      <c r="GC15" s="635"/>
      <c r="GD15" s="635"/>
      <c r="GE15" s="635"/>
      <c r="GF15" s="635"/>
      <c r="GG15" s="635"/>
      <c r="GH15" s="635"/>
      <c r="GI15" s="635"/>
      <c r="GJ15" s="635"/>
      <c r="GK15" s="635"/>
      <c r="GL15" s="635"/>
      <c r="GM15" s="635"/>
      <c r="GN15" s="635"/>
      <c r="GO15" s="635"/>
      <c r="GP15" s="635"/>
      <c r="GQ15" s="635"/>
      <c r="GR15" s="635"/>
      <c r="GS15" s="635"/>
      <c r="GT15" s="635"/>
      <c r="GU15" s="635"/>
      <c r="GV15" s="635"/>
      <c r="GW15" s="635"/>
      <c r="GX15" s="635"/>
      <c r="GY15" s="635"/>
      <c r="GZ15" s="635"/>
      <c r="HA15" s="635"/>
      <c r="HB15" s="635"/>
      <c r="HC15" s="635"/>
      <c r="HD15" s="635"/>
      <c r="HE15" s="635"/>
      <c r="HF15" s="635"/>
      <c r="HG15" s="635"/>
      <c r="HH15" s="635"/>
      <c r="HI15" s="635"/>
      <c r="HJ15" s="635"/>
      <c r="HK15" s="635"/>
      <c r="HL15" s="635"/>
      <c r="HM15" s="635"/>
      <c r="HN15" s="635"/>
      <c r="HO15" s="635"/>
      <c r="HP15" s="635"/>
      <c r="HQ15" s="635"/>
      <c r="HR15" s="635"/>
      <c r="HS15" s="635"/>
      <c r="HT15" s="635"/>
      <c r="HU15" s="635"/>
      <c r="HV15" s="635"/>
      <c r="HW15" s="635"/>
      <c r="HX15" s="635"/>
      <c r="HY15" s="635"/>
      <c r="HZ15" s="635"/>
      <c r="IA15" s="635"/>
      <c r="IB15" s="635"/>
      <c r="IC15" s="635"/>
      <c r="ID15" s="635"/>
      <c r="IE15" s="635"/>
      <c r="IF15" s="635"/>
      <c r="IG15" s="635"/>
      <c r="IH15" s="635"/>
      <c r="II15" s="635"/>
      <c r="IJ15" s="635"/>
      <c r="IK15" s="635"/>
      <c r="IL15" s="635"/>
      <c r="IM15" s="635"/>
      <c r="IN15" s="635"/>
      <c r="IO15" s="635"/>
      <c r="IP15" s="635"/>
      <c r="IQ15" s="635"/>
      <c r="IR15" s="635"/>
      <c r="IS15" s="635"/>
      <c r="IT15" s="635"/>
      <c r="IU15" s="635"/>
      <c r="IV15" s="635"/>
      <c r="IW15" s="635"/>
    </row>
    <row r="16" customFormat="false" ht="12.75" hidden="false" customHeight="false" outlineLevel="0" collapsed="false">
      <c r="A16" s="649"/>
      <c r="B16" s="112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17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647"/>
      <c r="AQ16" s="648" t="n">
        <f aca="false">AQ15+1</f>
        <v>10</v>
      </c>
      <c r="AR16" s="635"/>
      <c r="AS16" s="635"/>
      <c r="AT16" s="635"/>
      <c r="AU16" s="635"/>
      <c r="AV16" s="635"/>
      <c r="AW16" s="635"/>
      <c r="AX16" s="635"/>
      <c r="AY16" s="635"/>
      <c r="AZ16" s="635"/>
      <c r="BA16" s="635"/>
      <c r="BB16" s="635"/>
      <c r="BC16" s="635"/>
      <c r="BD16" s="635"/>
      <c r="BE16" s="635"/>
      <c r="BF16" s="635"/>
      <c r="BG16" s="635"/>
      <c r="BH16" s="635"/>
      <c r="BI16" s="635"/>
      <c r="BJ16" s="635"/>
      <c r="BK16" s="635"/>
      <c r="BL16" s="635"/>
      <c r="BM16" s="635"/>
      <c r="BN16" s="635"/>
      <c r="BO16" s="635"/>
      <c r="BP16" s="635"/>
      <c r="BQ16" s="635"/>
      <c r="BR16" s="635"/>
      <c r="BS16" s="635"/>
      <c r="BT16" s="635"/>
      <c r="BU16" s="635"/>
      <c r="BV16" s="635"/>
      <c r="BW16" s="635"/>
      <c r="BX16" s="635"/>
      <c r="BY16" s="635"/>
      <c r="BZ16" s="635"/>
      <c r="CA16" s="635"/>
      <c r="CB16" s="635"/>
      <c r="CC16" s="635"/>
      <c r="CD16" s="635"/>
      <c r="CE16" s="635"/>
      <c r="CF16" s="635"/>
      <c r="CG16" s="635"/>
      <c r="CH16" s="635"/>
      <c r="CI16" s="635"/>
      <c r="CJ16" s="635"/>
      <c r="CK16" s="635"/>
      <c r="CL16" s="635"/>
      <c r="CM16" s="635"/>
      <c r="CN16" s="635"/>
      <c r="CO16" s="635"/>
      <c r="CP16" s="635"/>
      <c r="CQ16" s="635"/>
      <c r="CR16" s="635"/>
      <c r="CS16" s="635"/>
      <c r="CT16" s="635"/>
      <c r="CU16" s="635"/>
      <c r="CV16" s="635"/>
      <c r="CW16" s="635"/>
      <c r="CX16" s="635"/>
      <c r="CY16" s="635"/>
      <c r="CZ16" s="635"/>
      <c r="DA16" s="635"/>
      <c r="DB16" s="635"/>
      <c r="DC16" s="635"/>
      <c r="DD16" s="635"/>
      <c r="DE16" s="635"/>
      <c r="DF16" s="635"/>
      <c r="DG16" s="635"/>
      <c r="DH16" s="635"/>
      <c r="DI16" s="635"/>
      <c r="DJ16" s="635"/>
      <c r="DK16" s="635"/>
      <c r="DL16" s="635"/>
      <c r="DM16" s="635"/>
      <c r="DN16" s="635"/>
      <c r="DO16" s="635"/>
      <c r="DP16" s="635"/>
      <c r="DQ16" s="635"/>
      <c r="DR16" s="635"/>
      <c r="DS16" s="635"/>
      <c r="DT16" s="635"/>
      <c r="DU16" s="635"/>
      <c r="DV16" s="635"/>
      <c r="DW16" s="635"/>
      <c r="DX16" s="635"/>
      <c r="DY16" s="635"/>
      <c r="DZ16" s="635"/>
      <c r="EA16" s="635"/>
      <c r="EB16" s="635"/>
      <c r="EC16" s="635"/>
      <c r="ED16" s="635"/>
      <c r="EE16" s="635"/>
      <c r="EF16" s="635"/>
      <c r="EG16" s="635"/>
      <c r="EH16" s="635"/>
      <c r="EI16" s="635"/>
      <c r="EJ16" s="635"/>
      <c r="EK16" s="635"/>
      <c r="EL16" s="635"/>
      <c r="EM16" s="635"/>
      <c r="EN16" s="635"/>
      <c r="EO16" s="635"/>
      <c r="EP16" s="635"/>
      <c r="EQ16" s="635"/>
      <c r="ER16" s="635"/>
      <c r="ES16" s="635"/>
      <c r="ET16" s="635"/>
      <c r="EU16" s="635"/>
      <c r="EV16" s="635"/>
      <c r="EW16" s="635"/>
      <c r="EX16" s="635"/>
      <c r="EY16" s="635"/>
      <c r="EZ16" s="635"/>
      <c r="FA16" s="635"/>
      <c r="FB16" s="635"/>
      <c r="FC16" s="635"/>
      <c r="FD16" s="635"/>
      <c r="FE16" s="635"/>
      <c r="FF16" s="635"/>
      <c r="FG16" s="635"/>
      <c r="FH16" s="635"/>
      <c r="FI16" s="635"/>
      <c r="FJ16" s="635"/>
      <c r="FK16" s="635"/>
      <c r="FL16" s="635"/>
      <c r="FM16" s="635"/>
      <c r="FN16" s="635"/>
      <c r="FO16" s="635"/>
      <c r="FP16" s="635"/>
      <c r="FQ16" s="635"/>
      <c r="FR16" s="635"/>
      <c r="FS16" s="635"/>
      <c r="FT16" s="635"/>
      <c r="FU16" s="635"/>
      <c r="FV16" s="635"/>
      <c r="FW16" s="635"/>
      <c r="FX16" s="635"/>
      <c r="FY16" s="635"/>
      <c r="FZ16" s="635"/>
      <c r="GA16" s="635"/>
      <c r="GB16" s="635"/>
      <c r="GC16" s="635"/>
      <c r="GD16" s="635"/>
      <c r="GE16" s="635"/>
      <c r="GF16" s="635"/>
      <c r="GG16" s="635"/>
      <c r="GH16" s="635"/>
      <c r="GI16" s="635"/>
      <c r="GJ16" s="635"/>
      <c r="GK16" s="635"/>
      <c r="GL16" s="635"/>
      <c r="GM16" s="635"/>
      <c r="GN16" s="635"/>
      <c r="GO16" s="635"/>
      <c r="GP16" s="635"/>
      <c r="GQ16" s="635"/>
      <c r="GR16" s="635"/>
      <c r="GS16" s="635"/>
      <c r="GT16" s="635"/>
      <c r="GU16" s="635"/>
      <c r="GV16" s="635"/>
      <c r="GW16" s="635"/>
      <c r="GX16" s="635"/>
      <c r="GY16" s="635"/>
      <c r="GZ16" s="635"/>
      <c r="HA16" s="635"/>
      <c r="HB16" s="635"/>
      <c r="HC16" s="635"/>
      <c r="HD16" s="635"/>
      <c r="HE16" s="635"/>
      <c r="HF16" s="635"/>
      <c r="HG16" s="635"/>
      <c r="HH16" s="635"/>
      <c r="HI16" s="635"/>
      <c r="HJ16" s="635"/>
      <c r="HK16" s="635"/>
      <c r="HL16" s="635"/>
      <c r="HM16" s="635"/>
      <c r="HN16" s="635"/>
      <c r="HO16" s="635"/>
      <c r="HP16" s="635"/>
      <c r="HQ16" s="635"/>
      <c r="HR16" s="635"/>
      <c r="HS16" s="635"/>
      <c r="HT16" s="635"/>
      <c r="HU16" s="635"/>
      <c r="HV16" s="635"/>
      <c r="HW16" s="635"/>
      <c r="HX16" s="635"/>
      <c r="HY16" s="635"/>
      <c r="HZ16" s="635"/>
      <c r="IA16" s="635"/>
      <c r="IB16" s="635"/>
      <c r="IC16" s="635"/>
      <c r="ID16" s="635"/>
      <c r="IE16" s="635"/>
      <c r="IF16" s="635"/>
      <c r="IG16" s="635"/>
      <c r="IH16" s="635"/>
      <c r="II16" s="635"/>
      <c r="IJ16" s="635"/>
      <c r="IK16" s="635"/>
      <c r="IL16" s="635"/>
      <c r="IM16" s="635"/>
      <c r="IN16" s="635"/>
      <c r="IO16" s="635"/>
      <c r="IP16" s="635"/>
      <c r="IQ16" s="635"/>
      <c r="IR16" s="635"/>
      <c r="IS16" s="635"/>
      <c r="IT16" s="635"/>
      <c r="IU16" s="635"/>
      <c r="IV16" s="635"/>
      <c r="IW16" s="635"/>
    </row>
    <row r="17" customFormat="false" ht="12.75" hidden="false" customHeight="false" outlineLevel="0" collapsed="false">
      <c r="A17" s="649" t="str">
        <f aca="false">Assm!N15</f>
        <v>Linefill</v>
      </c>
      <c r="B17" s="112"/>
      <c r="C17" s="174" t="n">
        <f aca="false">Assm!R15</f>
        <v>146</v>
      </c>
      <c r="D17" s="84"/>
      <c r="E17" s="499" t="n">
        <f aca="false">E89+E91+E92+E93</f>
        <v>0</v>
      </c>
      <c r="F17" s="499" t="n">
        <f aca="false">F89+F91+F92+F93</f>
        <v>143.478260869565</v>
      </c>
      <c r="G17" s="499" t="n">
        <f aca="false">G89+G91+G92+G93</f>
        <v>0</v>
      </c>
      <c r="H17" s="499" t="n">
        <f aca="false">H89+H91+H92+H93</f>
        <v>0</v>
      </c>
      <c r="I17" s="499" t="n">
        <f aca="false">I89+I91+I92+I93</f>
        <v>0</v>
      </c>
      <c r="J17" s="499" t="n">
        <f aca="false">J89+J91+J92+J93</f>
        <v>0</v>
      </c>
      <c r="K17" s="499" t="n">
        <f aca="false">K89+K91+K92+K93</f>
        <v>63.582842724979</v>
      </c>
      <c r="L17" s="499" t="n">
        <f aca="false">L89+L91+L92+L93</f>
        <v>122.625463118895</v>
      </c>
      <c r="M17" s="499" t="n">
        <f aca="false">M89+M91+M92+M93</f>
        <v>0</v>
      </c>
      <c r="N17" s="499" t="n">
        <f aca="false">N89+N91+N92+N93</f>
        <v>0</v>
      </c>
      <c r="O17" s="499" t="n">
        <f aca="false">O89+O91+O92+O93</f>
        <v>48.7093180937621</v>
      </c>
      <c r="P17" s="499" t="n">
        <f aca="false">P89+P91+P92+P93</f>
        <v>38.7022550111359</v>
      </c>
      <c r="Q17" s="499" t="n">
        <f aca="false">Q89+Q91+Q92+Q93</f>
        <v>32.996646884273</v>
      </c>
      <c r="R17" s="499" t="n">
        <f aca="false">R89+R91+R92+R93</f>
        <v>224.442610208817</v>
      </c>
      <c r="S17" s="499" t="n">
        <f aca="false">S89+S91+S92+S93</f>
        <v>136.216264511723</v>
      </c>
      <c r="T17" s="499" t="n">
        <f aca="false">T89+T91+T92+T93</f>
        <v>0</v>
      </c>
      <c r="U17" s="499" t="n">
        <f aca="false">U89+U91+U92+U93</f>
        <v>0</v>
      </c>
      <c r="V17" s="499" t="n">
        <f aca="false">V89+V91+V92+V93</f>
        <v>68.1438901316132</v>
      </c>
      <c r="W17" s="499" t="n">
        <f aca="false">W89+W91+W92+W93</f>
        <v>0</v>
      </c>
      <c r="X17" s="499" t="n">
        <f aca="false">X89+X91+X92+X93</f>
        <v>0</v>
      </c>
      <c r="Y17" s="650" t="n">
        <f aca="false">($C$24-SUM($E17:$X17))/10</f>
        <v>1113.29113873341</v>
      </c>
      <c r="Z17" s="650" t="n">
        <f aca="false">($C$24-SUM($E17:$X17))/10</f>
        <v>1113.29113873341</v>
      </c>
      <c r="AA17" s="650" t="n">
        <f aca="false">($C$24-SUM($E17:$X17))/10</f>
        <v>1113.29113873341</v>
      </c>
      <c r="AB17" s="650" t="n">
        <f aca="false">($C$24-SUM($E17:$X17))/10</f>
        <v>1113.29113873341</v>
      </c>
      <c r="AC17" s="650" t="n">
        <f aca="false">($C$24-SUM($E17:$X17))/10</f>
        <v>1113.29113873341</v>
      </c>
      <c r="AD17" s="650" t="n">
        <f aca="false">($C$24-SUM($E17:$X17))/10</f>
        <v>1113.29113873341</v>
      </c>
      <c r="AE17" s="650" t="n">
        <f aca="false">($C$24-SUM($E17:$X17))/10</f>
        <v>1113.29113873341</v>
      </c>
      <c r="AF17" s="650" t="n">
        <f aca="false">($C$24-SUM($E17:$X17))/10</f>
        <v>1113.29113873341</v>
      </c>
      <c r="AG17" s="650" t="n">
        <f aca="false">($C$24-SUM($E17:$X17))/10</f>
        <v>1113.29113873341</v>
      </c>
      <c r="AH17" s="650" t="n">
        <f aca="false">($C$24-SUM($E17:$X17))/10</f>
        <v>1113.29113873341</v>
      </c>
      <c r="AI17" s="650" t="n">
        <v>0</v>
      </c>
      <c r="AJ17" s="650" t="n">
        <v>0</v>
      </c>
      <c r="AK17" s="650" t="n">
        <v>0</v>
      </c>
      <c r="AL17" s="650" t="n">
        <v>0</v>
      </c>
      <c r="AM17" s="650" t="n">
        <v>0</v>
      </c>
      <c r="AN17" s="650" t="n">
        <v>0</v>
      </c>
      <c r="AO17" s="84"/>
      <c r="AP17" s="482" t="n">
        <f aca="false">SUM(E17:AO17)</f>
        <v>12011.8089388889</v>
      </c>
      <c r="AQ17" s="648" t="n">
        <f aca="false">AQ16+1</f>
        <v>11</v>
      </c>
      <c r="AR17" s="635"/>
      <c r="AS17" s="635"/>
      <c r="AT17" s="635"/>
      <c r="AU17" s="635"/>
      <c r="AV17" s="635"/>
      <c r="AW17" s="635"/>
      <c r="AX17" s="635"/>
      <c r="AY17" s="635"/>
      <c r="AZ17" s="635"/>
      <c r="BA17" s="635"/>
      <c r="BB17" s="635"/>
      <c r="BC17" s="635"/>
      <c r="BD17" s="635"/>
      <c r="BE17" s="635"/>
      <c r="BF17" s="635"/>
      <c r="BG17" s="635"/>
      <c r="BH17" s="635"/>
      <c r="BI17" s="635"/>
      <c r="BJ17" s="635"/>
      <c r="BK17" s="635"/>
      <c r="BL17" s="635"/>
      <c r="BM17" s="635"/>
      <c r="BN17" s="635"/>
      <c r="BO17" s="635"/>
      <c r="BP17" s="635"/>
      <c r="BQ17" s="635"/>
      <c r="BR17" s="635"/>
      <c r="BS17" s="635"/>
      <c r="BT17" s="635"/>
      <c r="BU17" s="635"/>
      <c r="BV17" s="635"/>
      <c r="BW17" s="635"/>
      <c r="BX17" s="635"/>
      <c r="BY17" s="635"/>
      <c r="BZ17" s="635"/>
      <c r="CA17" s="635"/>
      <c r="CB17" s="635"/>
      <c r="CC17" s="635"/>
      <c r="CD17" s="635"/>
      <c r="CE17" s="635"/>
      <c r="CF17" s="635"/>
      <c r="CG17" s="635"/>
      <c r="CH17" s="635"/>
      <c r="CI17" s="635"/>
      <c r="CJ17" s="635"/>
      <c r="CK17" s="635"/>
      <c r="CL17" s="635"/>
      <c r="CM17" s="635"/>
      <c r="CN17" s="635"/>
      <c r="CO17" s="635"/>
      <c r="CP17" s="635"/>
      <c r="CQ17" s="635"/>
      <c r="CR17" s="635"/>
      <c r="CS17" s="635"/>
      <c r="CT17" s="635"/>
      <c r="CU17" s="635"/>
      <c r="CV17" s="635"/>
      <c r="CW17" s="635"/>
      <c r="CX17" s="635"/>
      <c r="CY17" s="635"/>
      <c r="CZ17" s="635"/>
      <c r="DA17" s="635"/>
      <c r="DB17" s="635"/>
      <c r="DC17" s="635"/>
      <c r="DD17" s="635"/>
      <c r="DE17" s="635"/>
      <c r="DF17" s="635"/>
      <c r="DG17" s="635"/>
      <c r="DH17" s="635"/>
      <c r="DI17" s="635"/>
      <c r="DJ17" s="635"/>
      <c r="DK17" s="635"/>
      <c r="DL17" s="635"/>
      <c r="DM17" s="635"/>
      <c r="DN17" s="635"/>
      <c r="DO17" s="635"/>
      <c r="DP17" s="635"/>
      <c r="DQ17" s="635"/>
      <c r="DR17" s="635"/>
      <c r="DS17" s="635"/>
      <c r="DT17" s="635"/>
      <c r="DU17" s="635"/>
      <c r="DV17" s="635"/>
      <c r="DW17" s="635"/>
      <c r="DX17" s="635"/>
      <c r="DY17" s="635"/>
      <c r="DZ17" s="635"/>
      <c r="EA17" s="635"/>
      <c r="EB17" s="635"/>
      <c r="EC17" s="635"/>
      <c r="ED17" s="635"/>
      <c r="EE17" s="635"/>
      <c r="EF17" s="635"/>
      <c r="EG17" s="635"/>
      <c r="EH17" s="635"/>
      <c r="EI17" s="635"/>
      <c r="EJ17" s="635"/>
      <c r="EK17" s="635"/>
      <c r="EL17" s="635"/>
      <c r="EM17" s="635"/>
      <c r="EN17" s="635"/>
      <c r="EO17" s="635"/>
      <c r="EP17" s="635"/>
      <c r="EQ17" s="635"/>
      <c r="ER17" s="635"/>
      <c r="ES17" s="635"/>
      <c r="ET17" s="635"/>
      <c r="EU17" s="635"/>
      <c r="EV17" s="635"/>
      <c r="EW17" s="635"/>
      <c r="EX17" s="635"/>
      <c r="EY17" s="635"/>
      <c r="EZ17" s="635"/>
      <c r="FA17" s="635"/>
      <c r="FB17" s="635"/>
      <c r="FC17" s="635"/>
      <c r="FD17" s="635"/>
      <c r="FE17" s="635"/>
      <c r="FF17" s="635"/>
      <c r="FG17" s="635"/>
      <c r="FH17" s="635"/>
      <c r="FI17" s="635"/>
      <c r="FJ17" s="635"/>
      <c r="FK17" s="635"/>
      <c r="FL17" s="635"/>
      <c r="FM17" s="635"/>
      <c r="FN17" s="635"/>
      <c r="FO17" s="635"/>
      <c r="FP17" s="635"/>
      <c r="FQ17" s="635"/>
      <c r="FR17" s="635"/>
      <c r="FS17" s="635"/>
      <c r="FT17" s="635"/>
      <c r="FU17" s="635"/>
      <c r="FV17" s="635"/>
      <c r="FW17" s="635"/>
      <c r="FX17" s="635"/>
      <c r="FY17" s="635"/>
      <c r="FZ17" s="635"/>
      <c r="GA17" s="635"/>
      <c r="GB17" s="635"/>
      <c r="GC17" s="635"/>
      <c r="GD17" s="635"/>
      <c r="GE17" s="635"/>
      <c r="GF17" s="635"/>
      <c r="GG17" s="635"/>
      <c r="GH17" s="635"/>
      <c r="GI17" s="635"/>
      <c r="GJ17" s="635"/>
      <c r="GK17" s="635"/>
      <c r="GL17" s="635"/>
      <c r="GM17" s="635"/>
      <c r="GN17" s="635"/>
      <c r="GO17" s="635"/>
      <c r="GP17" s="635"/>
      <c r="GQ17" s="635"/>
      <c r="GR17" s="635"/>
      <c r="GS17" s="635"/>
      <c r="GT17" s="635"/>
      <c r="GU17" s="635"/>
      <c r="GV17" s="635"/>
      <c r="GW17" s="635"/>
      <c r="GX17" s="635"/>
      <c r="GY17" s="635"/>
      <c r="GZ17" s="635"/>
      <c r="HA17" s="635"/>
      <c r="HB17" s="635"/>
      <c r="HC17" s="635"/>
      <c r="HD17" s="635"/>
      <c r="HE17" s="635"/>
      <c r="HF17" s="635"/>
      <c r="HG17" s="635"/>
      <c r="HH17" s="635"/>
      <c r="HI17" s="635"/>
      <c r="HJ17" s="635"/>
      <c r="HK17" s="635"/>
      <c r="HL17" s="635"/>
      <c r="HM17" s="635"/>
      <c r="HN17" s="635"/>
      <c r="HO17" s="635"/>
      <c r="HP17" s="635"/>
      <c r="HQ17" s="635"/>
      <c r="HR17" s="635"/>
      <c r="HS17" s="635"/>
      <c r="HT17" s="635"/>
      <c r="HU17" s="635"/>
      <c r="HV17" s="635"/>
      <c r="HW17" s="635"/>
      <c r="HX17" s="635"/>
      <c r="HY17" s="635"/>
      <c r="HZ17" s="635"/>
      <c r="IA17" s="635"/>
      <c r="IB17" s="635"/>
      <c r="IC17" s="635"/>
      <c r="ID17" s="635"/>
      <c r="IE17" s="635"/>
      <c r="IF17" s="635"/>
      <c r="IG17" s="635"/>
      <c r="IH17" s="635"/>
      <c r="II17" s="635"/>
      <c r="IJ17" s="635"/>
      <c r="IK17" s="635"/>
      <c r="IL17" s="635"/>
      <c r="IM17" s="635"/>
      <c r="IN17" s="635"/>
      <c r="IO17" s="635"/>
      <c r="IP17" s="635"/>
      <c r="IQ17" s="635"/>
      <c r="IR17" s="635"/>
      <c r="IS17" s="635"/>
      <c r="IT17" s="635"/>
      <c r="IU17" s="635"/>
      <c r="IV17" s="635"/>
      <c r="IW17" s="635"/>
    </row>
    <row r="18" customFormat="false" ht="12.75" hidden="false" customHeight="false" outlineLevel="0" collapsed="false">
      <c r="A18" s="649" t="str">
        <f aca="false">Assm!N16</f>
        <v>Land &amp; Rights Of Way</v>
      </c>
      <c r="B18" s="112"/>
      <c r="C18" s="174" t="n">
        <f aca="false">Assm!R16</f>
        <v>994</v>
      </c>
      <c r="D18" s="84"/>
      <c r="E18" s="156" t="n">
        <v>0</v>
      </c>
      <c r="F18" s="156" t="n">
        <v>0</v>
      </c>
      <c r="G18" s="156" t="n">
        <v>0</v>
      </c>
      <c r="H18" s="156" t="n">
        <v>0</v>
      </c>
      <c r="I18" s="156" t="n">
        <v>0</v>
      </c>
      <c r="J18" s="156" t="n">
        <v>0</v>
      </c>
      <c r="K18" s="156" t="n">
        <v>0</v>
      </c>
      <c r="L18" s="156" t="n">
        <v>0</v>
      </c>
      <c r="M18" s="156" t="n">
        <v>0</v>
      </c>
      <c r="N18" s="156" t="n">
        <v>0</v>
      </c>
      <c r="O18" s="156" t="n">
        <v>0</v>
      </c>
      <c r="P18" s="156" t="n">
        <v>0</v>
      </c>
      <c r="Q18" s="156" t="n">
        <v>0</v>
      </c>
      <c r="R18" s="156" t="n">
        <v>0</v>
      </c>
      <c r="S18" s="156" t="n">
        <v>0</v>
      </c>
      <c r="T18" s="156" t="n">
        <v>0</v>
      </c>
      <c r="U18" s="156" t="n">
        <v>0</v>
      </c>
      <c r="V18" s="156" t="n">
        <v>0</v>
      </c>
      <c r="W18" s="156" t="n">
        <v>0</v>
      </c>
      <c r="X18" s="156" t="n">
        <v>0</v>
      </c>
      <c r="Y18" s="156" t="n">
        <v>0</v>
      </c>
      <c r="Z18" s="156" t="n">
        <v>0</v>
      </c>
      <c r="AA18" s="156" t="n">
        <v>0</v>
      </c>
      <c r="AB18" s="156" t="n">
        <v>0</v>
      </c>
      <c r="AC18" s="156" t="n">
        <v>0</v>
      </c>
      <c r="AD18" s="156" t="n">
        <v>0</v>
      </c>
      <c r="AE18" s="156" t="n">
        <v>0</v>
      </c>
      <c r="AF18" s="156" t="n">
        <v>0</v>
      </c>
      <c r="AG18" s="156" t="n">
        <v>0</v>
      </c>
      <c r="AH18" s="156" t="n">
        <v>0</v>
      </c>
      <c r="AI18" s="156" t="n">
        <v>0</v>
      </c>
      <c r="AJ18" s="156" t="n">
        <v>0</v>
      </c>
      <c r="AK18" s="156" t="n">
        <v>0</v>
      </c>
      <c r="AL18" s="156" t="n">
        <v>0</v>
      </c>
      <c r="AM18" s="156" t="n">
        <v>0</v>
      </c>
      <c r="AN18" s="156" t="n">
        <v>0</v>
      </c>
      <c r="AO18" s="84"/>
      <c r="AP18" s="482" t="n">
        <f aca="false">SUM(E18:AO18)</f>
        <v>0</v>
      </c>
      <c r="AQ18" s="648" t="n">
        <f aca="false">AQ17+1</f>
        <v>12</v>
      </c>
      <c r="AR18" s="635"/>
      <c r="AS18" s="635"/>
      <c r="AT18" s="635"/>
      <c r="AU18" s="635"/>
      <c r="AV18" s="635"/>
      <c r="AW18" s="635"/>
      <c r="AX18" s="635"/>
      <c r="AY18" s="635"/>
      <c r="AZ18" s="635"/>
      <c r="BA18" s="635"/>
      <c r="BB18" s="635"/>
      <c r="BC18" s="635"/>
      <c r="BD18" s="635"/>
      <c r="BE18" s="635"/>
      <c r="BF18" s="635"/>
      <c r="BG18" s="635"/>
      <c r="BH18" s="635"/>
      <c r="BI18" s="635"/>
      <c r="BJ18" s="635"/>
      <c r="BK18" s="635"/>
      <c r="BL18" s="635"/>
      <c r="BM18" s="635"/>
      <c r="BN18" s="635"/>
      <c r="BO18" s="635"/>
      <c r="BP18" s="635"/>
      <c r="BQ18" s="635"/>
      <c r="BR18" s="635"/>
      <c r="BS18" s="635"/>
      <c r="BT18" s="635"/>
      <c r="BU18" s="635"/>
      <c r="BV18" s="635"/>
      <c r="BW18" s="635"/>
      <c r="BX18" s="635"/>
      <c r="BY18" s="635"/>
      <c r="BZ18" s="635"/>
      <c r="CA18" s="635"/>
      <c r="CB18" s="635"/>
      <c r="CC18" s="635"/>
      <c r="CD18" s="635"/>
      <c r="CE18" s="635"/>
      <c r="CF18" s="635"/>
      <c r="CG18" s="635"/>
      <c r="CH18" s="635"/>
      <c r="CI18" s="635"/>
      <c r="CJ18" s="635"/>
      <c r="CK18" s="635"/>
      <c r="CL18" s="635"/>
      <c r="CM18" s="635"/>
      <c r="CN18" s="635"/>
      <c r="CO18" s="635"/>
      <c r="CP18" s="635"/>
      <c r="CQ18" s="635"/>
      <c r="CR18" s="635"/>
      <c r="CS18" s="635"/>
      <c r="CT18" s="635"/>
      <c r="CU18" s="635"/>
      <c r="CV18" s="635"/>
      <c r="CW18" s="635"/>
      <c r="CX18" s="635"/>
      <c r="CY18" s="635"/>
      <c r="CZ18" s="635"/>
      <c r="DA18" s="635"/>
      <c r="DB18" s="635"/>
      <c r="DC18" s="635"/>
      <c r="DD18" s="635"/>
      <c r="DE18" s="635"/>
      <c r="DF18" s="635"/>
      <c r="DG18" s="635"/>
      <c r="DH18" s="635"/>
      <c r="DI18" s="635"/>
      <c r="DJ18" s="635"/>
      <c r="DK18" s="635"/>
      <c r="DL18" s="635"/>
      <c r="DM18" s="635"/>
      <c r="DN18" s="635"/>
      <c r="DO18" s="635"/>
      <c r="DP18" s="635"/>
      <c r="DQ18" s="635"/>
      <c r="DR18" s="635"/>
      <c r="DS18" s="635"/>
      <c r="DT18" s="635"/>
      <c r="DU18" s="635"/>
      <c r="DV18" s="635"/>
      <c r="DW18" s="635"/>
      <c r="DX18" s="635"/>
      <c r="DY18" s="635"/>
      <c r="DZ18" s="635"/>
      <c r="EA18" s="635"/>
      <c r="EB18" s="635"/>
      <c r="EC18" s="635"/>
      <c r="ED18" s="635"/>
      <c r="EE18" s="635"/>
      <c r="EF18" s="635"/>
      <c r="EG18" s="635"/>
      <c r="EH18" s="635"/>
      <c r="EI18" s="635"/>
      <c r="EJ18" s="635"/>
      <c r="EK18" s="635"/>
      <c r="EL18" s="635"/>
      <c r="EM18" s="635"/>
      <c r="EN18" s="635"/>
      <c r="EO18" s="635"/>
      <c r="EP18" s="635"/>
      <c r="EQ18" s="635"/>
      <c r="ER18" s="635"/>
      <c r="ES18" s="635"/>
      <c r="ET18" s="635"/>
      <c r="EU18" s="635"/>
      <c r="EV18" s="635"/>
      <c r="EW18" s="635"/>
      <c r="EX18" s="635"/>
      <c r="EY18" s="635"/>
      <c r="EZ18" s="635"/>
      <c r="FA18" s="635"/>
      <c r="FB18" s="635"/>
      <c r="FC18" s="635"/>
      <c r="FD18" s="635"/>
      <c r="FE18" s="635"/>
      <c r="FF18" s="635"/>
      <c r="FG18" s="635"/>
      <c r="FH18" s="635"/>
      <c r="FI18" s="635"/>
      <c r="FJ18" s="635"/>
      <c r="FK18" s="635"/>
      <c r="FL18" s="635"/>
      <c r="FM18" s="635"/>
      <c r="FN18" s="635"/>
      <c r="FO18" s="635"/>
      <c r="FP18" s="635"/>
      <c r="FQ18" s="635"/>
      <c r="FR18" s="635"/>
      <c r="FS18" s="635"/>
      <c r="FT18" s="635"/>
      <c r="FU18" s="635"/>
      <c r="FV18" s="635"/>
      <c r="FW18" s="635"/>
      <c r="FX18" s="635"/>
      <c r="FY18" s="635"/>
      <c r="FZ18" s="635"/>
      <c r="GA18" s="635"/>
      <c r="GB18" s="635"/>
      <c r="GC18" s="635"/>
      <c r="GD18" s="635"/>
      <c r="GE18" s="635"/>
      <c r="GF18" s="635"/>
      <c r="GG18" s="635"/>
      <c r="GH18" s="635"/>
      <c r="GI18" s="635"/>
      <c r="GJ18" s="635"/>
      <c r="GK18" s="635"/>
      <c r="GL18" s="635"/>
      <c r="GM18" s="635"/>
      <c r="GN18" s="635"/>
      <c r="GO18" s="635"/>
      <c r="GP18" s="635"/>
      <c r="GQ18" s="635"/>
      <c r="GR18" s="635"/>
      <c r="GS18" s="635"/>
      <c r="GT18" s="635"/>
      <c r="GU18" s="635"/>
      <c r="GV18" s="635"/>
      <c r="GW18" s="635"/>
      <c r="GX18" s="635"/>
      <c r="GY18" s="635"/>
      <c r="GZ18" s="635"/>
      <c r="HA18" s="635"/>
      <c r="HB18" s="635"/>
      <c r="HC18" s="635"/>
      <c r="HD18" s="635"/>
      <c r="HE18" s="635"/>
      <c r="HF18" s="635"/>
      <c r="HG18" s="635"/>
      <c r="HH18" s="635"/>
      <c r="HI18" s="635"/>
      <c r="HJ18" s="635"/>
      <c r="HK18" s="635"/>
      <c r="HL18" s="635"/>
      <c r="HM18" s="635"/>
      <c r="HN18" s="635"/>
      <c r="HO18" s="635"/>
      <c r="HP18" s="635"/>
      <c r="HQ18" s="635"/>
      <c r="HR18" s="635"/>
      <c r="HS18" s="635"/>
      <c r="HT18" s="635"/>
      <c r="HU18" s="635"/>
      <c r="HV18" s="635"/>
      <c r="HW18" s="635"/>
      <c r="HX18" s="635"/>
      <c r="HY18" s="635"/>
      <c r="HZ18" s="635"/>
      <c r="IA18" s="635"/>
      <c r="IB18" s="635"/>
      <c r="IC18" s="635"/>
      <c r="ID18" s="635"/>
      <c r="IE18" s="635"/>
      <c r="IF18" s="635"/>
      <c r="IG18" s="635"/>
      <c r="IH18" s="635"/>
      <c r="II18" s="635"/>
      <c r="IJ18" s="635"/>
      <c r="IK18" s="635"/>
      <c r="IL18" s="635"/>
      <c r="IM18" s="635"/>
      <c r="IN18" s="635"/>
      <c r="IO18" s="635"/>
      <c r="IP18" s="635"/>
      <c r="IQ18" s="635"/>
      <c r="IR18" s="635"/>
      <c r="IS18" s="635"/>
      <c r="IT18" s="635"/>
      <c r="IU18" s="635"/>
      <c r="IV18" s="635"/>
      <c r="IW18" s="635"/>
    </row>
    <row r="19" customFormat="false" ht="12.75" hidden="false" customHeight="false" outlineLevel="0" collapsed="false">
      <c r="A19" s="649" t="str">
        <f aca="false">Assm!N17</f>
        <v>Consulting Fees</v>
      </c>
      <c r="B19" s="112"/>
      <c r="C19" s="174" t="n">
        <f aca="false">Assm!R17</f>
        <v>556</v>
      </c>
      <c r="D19" s="84"/>
      <c r="E19" s="156" t="n">
        <v>0</v>
      </c>
      <c r="F19" s="156" t="n">
        <v>0</v>
      </c>
      <c r="G19" s="156" t="n">
        <v>0</v>
      </c>
      <c r="H19" s="156" t="n">
        <v>0</v>
      </c>
      <c r="I19" s="156" t="n">
        <v>0</v>
      </c>
      <c r="J19" s="156" t="n">
        <v>0</v>
      </c>
      <c r="K19" s="156" t="n">
        <v>0</v>
      </c>
      <c r="L19" s="156" t="n">
        <v>0</v>
      </c>
      <c r="M19" s="156" t="n">
        <v>0</v>
      </c>
      <c r="N19" s="156" t="n">
        <v>0</v>
      </c>
      <c r="O19" s="156" t="n">
        <v>0</v>
      </c>
      <c r="P19" s="156" t="n">
        <v>0</v>
      </c>
      <c r="Q19" s="156" t="n">
        <v>0</v>
      </c>
      <c r="R19" s="156" t="n">
        <v>0</v>
      </c>
      <c r="S19" s="156" t="n">
        <v>0</v>
      </c>
      <c r="T19" s="156" t="n">
        <v>0</v>
      </c>
      <c r="U19" s="156" t="n">
        <v>0</v>
      </c>
      <c r="V19" s="156" t="n">
        <v>0</v>
      </c>
      <c r="W19" s="156" t="n">
        <v>0</v>
      </c>
      <c r="X19" s="156" t="n">
        <v>0</v>
      </c>
      <c r="Y19" s="156" t="n">
        <v>0</v>
      </c>
      <c r="Z19" s="156" t="n">
        <v>0</v>
      </c>
      <c r="AA19" s="156" t="n">
        <v>0</v>
      </c>
      <c r="AB19" s="156" t="n">
        <v>0</v>
      </c>
      <c r="AC19" s="156" t="n">
        <v>0</v>
      </c>
      <c r="AD19" s="156" t="n">
        <v>0</v>
      </c>
      <c r="AE19" s="156" t="n">
        <v>0</v>
      </c>
      <c r="AF19" s="156" t="n">
        <v>0</v>
      </c>
      <c r="AG19" s="156" t="n">
        <v>0</v>
      </c>
      <c r="AH19" s="156" t="n">
        <v>0</v>
      </c>
      <c r="AI19" s="156" t="n">
        <v>0</v>
      </c>
      <c r="AJ19" s="156" t="n">
        <v>0</v>
      </c>
      <c r="AK19" s="156" t="n">
        <v>0</v>
      </c>
      <c r="AL19" s="156" t="n">
        <v>0</v>
      </c>
      <c r="AM19" s="156" t="n">
        <v>0</v>
      </c>
      <c r="AN19" s="156" t="n">
        <v>0</v>
      </c>
      <c r="AO19" s="84"/>
      <c r="AP19" s="482" t="n">
        <f aca="false">SUM(E19:AO19)</f>
        <v>0</v>
      </c>
      <c r="AQ19" s="648" t="n">
        <f aca="false">AQ18+1</f>
        <v>13</v>
      </c>
      <c r="AR19" s="635"/>
      <c r="AS19" s="635"/>
      <c r="AT19" s="635"/>
      <c r="AU19" s="635"/>
      <c r="AV19" s="635"/>
      <c r="AW19" s="635"/>
      <c r="AX19" s="635"/>
      <c r="AY19" s="635"/>
      <c r="AZ19" s="635"/>
      <c r="BA19" s="635"/>
      <c r="BB19" s="635"/>
      <c r="BC19" s="635"/>
      <c r="BD19" s="635"/>
      <c r="BE19" s="635"/>
      <c r="BF19" s="635"/>
      <c r="BG19" s="635"/>
      <c r="BH19" s="635"/>
      <c r="BI19" s="635"/>
      <c r="BJ19" s="635"/>
      <c r="BK19" s="635"/>
      <c r="BL19" s="635"/>
      <c r="BM19" s="635"/>
      <c r="BN19" s="635"/>
      <c r="BO19" s="635"/>
      <c r="BP19" s="635"/>
      <c r="BQ19" s="635"/>
      <c r="BR19" s="635"/>
      <c r="BS19" s="635"/>
      <c r="BT19" s="635"/>
      <c r="BU19" s="635"/>
      <c r="BV19" s="635"/>
      <c r="BW19" s="635"/>
      <c r="BX19" s="635"/>
      <c r="BY19" s="635"/>
      <c r="BZ19" s="635"/>
      <c r="CA19" s="635"/>
      <c r="CB19" s="635"/>
      <c r="CC19" s="635"/>
      <c r="CD19" s="635"/>
      <c r="CE19" s="635"/>
      <c r="CF19" s="635"/>
      <c r="CG19" s="635"/>
      <c r="CH19" s="635"/>
      <c r="CI19" s="635"/>
      <c r="CJ19" s="635"/>
      <c r="CK19" s="635"/>
      <c r="CL19" s="635"/>
      <c r="CM19" s="635"/>
      <c r="CN19" s="635"/>
      <c r="CO19" s="635"/>
      <c r="CP19" s="635"/>
      <c r="CQ19" s="635"/>
      <c r="CR19" s="635"/>
      <c r="CS19" s="635"/>
      <c r="CT19" s="635"/>
      <c r="CU19" s="635"/>
      <c r="CV19" s="635"/>
      <c r="CW19" s="635"/>
      <c r="CX19" s="635"/>
      <c r="CY19" s="635"/>
      <c r="CZ19" s="635"/>
      <c r="DA19" s="635"/>
      <c r="DB19" s="635"/>
      <c r="DC19" s="635"/>
      <c r="DD19" s="635"/>
      <c r="DE19" s="635"/>
      <c r="DF19" s="635"/>
      <c r="DG19" s="635"/>
      <c r="DH19" s="635"/>
      <c r="DI19" s="635"/>
      <c r="DJ19" s="635"/>
      <c r="DK19" s="635"/>
      <c r="DL19" s="635"/>
      <c r="DM19" s="635"/>
      <c r="DN19" s="635"/>
      <c r="DO19" s="635"/>
      <c r="DP19" s="635"/>
      <c r="DQ19" s="635"/>
      <c r="DR19" s="635"/>
      <c r="DS19" s="635"/>
      <c r="DT19" s="635"/>
      <c r="DU19" s="635"/>
      <c r="DV19" s="635"/>
      <c r="DW19" s="635"/>
      <c r="DX19" s="635"/>
      <c r="DY19" s="635"/>
      <c r="DZ19" s="635"/>
      <c r="EA19" s="635"/>
      <c r="EB19" s="635"/>
      <c r="EC19" s="635"/>
      <c r="ED19" s="635"/>
      <c r="EE19" s="635"/>
      <c r="EF19" s="635"/>
      <c r="EG19" s="635"/>
      <c r="EH19" s="635"/>
      <c r="EI19" s="635"/>
      <c r="EJ19" s="635"/>
      <c r="EK19" s="635"/>
      <c r="EL19" s="635"/>
      <c r="EM19" s="635"/>
      <c r="EN19" s="635"/>
      <c r="EO19" s="635"/>
      <c r="EP19" s="635"/>
      <c r="EQ19" s="635"/>
      <c r="ER19" s="635"/>
      <c r="ES19" s="635"/>
      <c r="ET19" s="635"/>
      <c r="EU19" s="635"/>
      <c r="EV19" s="635"/>
      <c r="EW19" s="635"/>
      <c r="EX19" s="635"/>
      <c r="EY19" s="635"/>
      <c r="EZ19" s="635"/>
      <c r="FA19" s="635"/>
      <c r="FB19" s="635"/>
      <c r="FC19" s="635"/>
      <c r="FD19" s="635"/>
      <c r="FE19" s="635"/>
      <c r="FF19" s="635"/>
      <c r="FG19" s="635"/>
      <c r="FH19" s="635"/>
      <c r="FI19" s="635"/>
      <c r="FJ19" s="635"/>
      <c r="FK19" s="635"/>
      <c r="FL19" s="635"/>
      <c r="FM19" s="635"/>
      <c r="FN19" s="635"/>
      <c r="FO19" s="635"/>
      <c r="FP19" s="635"/>
      <c r="FQ19" s="635"/>
      <c r="FR19" s="635"/>
      <c r="FS19" s="635"/>
      <c r="FT19" s="635"/>
      <c r="FU19" s="635"/>
      <c r="FV19" s="635"/>
      <c r="FW19" s="635"/>
      <c r="FX19" s="635"/>
      <c r="FY19" s="635"/>
      <c r="FZ19" s="635"/>
      <c r="GA19" s="635"/>
      <c r="GB19" s="635"/>
      <c r="GC19" s="635"/>
      <c r="GD19" s="635"/>
      <c r="GE19" s="635"/>
      <c r="GF19" s="635"/>
      <c r="GG19" s="635"/>
      <c r="GH19" s="635"/>
      <c r="GI19" s="635"/>
      <c r="GJ19" s="635"/>
      <c r="GK19" s="635"/>
      <c r="GL19" s="635"/>
      <c r="GM19" s="635"/>
      <c r="GN19" s="635"/>
      <c r="GO19" s="635"/>
      <c r="GP19" s="635"/>
      <c r="GQ19" s="635"/>
      <c r="GR19" s="635"/>
      <c r="GS19" s="635"/>
      <c r="GT19" s="635"/>
      <c r="GU19" s="635"/>
      <c r="GV19" s="635"/>
      <c r="GW19" s="635"/>
      <c r="GX19" s="635"/>
      <c r="GY19" s="635"/>
      <c r="GZ19" s="635"/>
      <c r="HA19" s="635"/>
      <c r="HB19" s="635"/>
      <c r="HC19" s="635"/>
      <c r="HD19" s="635"/>
      <c r="HE19" s="635"/>
      <c r="HF19" s="635"/>
      <c r="HG19" s="635"/>
      <c r="HH19" s="635"/>
      <c r="HI19" s="635"/>
      <c r="HJ19" s="635"/>
      <c r="HK19" s="635"/>
      <c r="HL19" s="635"/>
      <c r="HM19" s="635"/>
      <c r="HN19" s="635"/>
      <c r="HO19" s="635"/>
      <c r="HP19" s="635"/>
      <c r="HQ19" s="635"/>
      <c r="HR19" s="635"/>
      <c r="HS19" s="635"/>
      <c r="HT19" s="635"/>
      <c r="HU19" s="635"/>
      <c r="HV19" s="635"/>
      <c r="HW19" s="635"/>
      <c r="HX19" s="635"/>
      <c r="HY19" s="635"/>
      <c r="HZ19" s="635"/>
      <c r="IA19" s="635"/>
      <c r="IB19" s="635"/>
      <c r="IC19" s="635"/>
      <c r="ID19" s="635"/>
      <c r="IE19" s="635"/>
      <c r="IF19" s="635"/>
      <c r="IG19" s="635"/>
      <c r="IH19" s="635"/>
      <c r="II19" s="635"/>
      <c r="IJ19" s="635"/>
      <c r="IK19" s="635"/>
      <c r="IL19" s="635"/>
      <c r="IM19" s="635"/>
      <c r="IN19" s="635"/>
      <c r="IO19" s="635"/>
      <c r="IP19" s="635"/>
      <c r="IQ19" s="635"/>
      <c r="IR19" s="635"/>
      <c r="IS19" s="635"/>
      <c r="IT19" s="635"/>
      <c r="IU19" s="635"/>
      <c r="IV19" s="635"/>
      <c r="IW19" s="635"/>
    </row>
    <row r="20" customFormat="false" ht="12.75" hidden="false" customHeight="false" outlineLevel="0" collapsed="false">
      <c r="A20" s="649" t="str">
        <f aca="false">Assm!N18</f>
        <v>Owner's Engineer (Parsons)</v>
      </c>
      <c r="B20" s="112"/>
      <c r="C20" s="174" t="n">
        <f aca="false">Assm!R18</f>
        <v>1850</v>
      </c>
      <c r="D20" s="84"/>
      <c r="E20" s="156" t="n">
        <v>0</v>
      </c>
      <c r="F20" s="156" t="n">
        <v>0</v>
      </c>
      <c r="G20" s="156" t="n">
        <v>0</v>
      </c>
      <c r="H20" s="156" t="n">
        <v>0</v>
      </c>
      <c r="I20" s="156" t="n">
        <v>0</v>
      </c>
      <c r="J20" s="156" t="n">
        <v>0</v>
      </c>
      <c r="K20" s="156" t="n">
        <v>0</v>
      </c>
      <c r="L20" s="156" t="n">
        <v>0</v>
      </c>
      <c r="M20" s="156" t="n">
        <v>0</v>
      </c>
      <c r="N20" s="156" t="n">
        <v>0</v>
      </c>
      <c r="O20" s="156" t="n">
        <v>0</v>
      </c>
      <c r="P20" s="156" t="n">
        <v>0</v>
      </c>
      <c r="Q20" s="156" t="n">
        <v>0</v>
      </c>
      <c r="R20" s="156" t="n">
        <v>0</v>
      </c>
      <c r="S20" s="156" t="n">
        <v>0</v>
      </c>
      <c r="T20" s="156" t="n">
        <v>0</v>
      </c>
      <c r="U20" s="156" t="n">
        <v>0</v>
      </c>
      <c r="V20" s="156" t="n">
        <v>0</v>
      </c>
      <c r="W20" s="156" t="n">
        <v>0</v>
      </c>
      <c r="X20" s="156" t="n">
        <v>0</v>
      </c>
      <c r="Y20" s="156" t="n">
        <v>0</v>
      </c>
      <c r="Z20" s="156" t="n">
        <v>0</v>
      </c>
      <c r="AA20" s="156" t="n">
        <v>0</v>
      </c>
      <c r="AB20" s="156" t="n">
        <v>0</v>
      </c>
      <c r="AC20" s="156" t="n">
        <v>0</v>
      </c>
      <c r="AD20" s="156" t="n">
        <v>0</v>
      </c>
      <c r="AE20" s="156" t="n">
        <v>0</v>
      </c>
      <c r="AF20" s="156" t="n">
        <v>0</v>
      </c>
      <c r="AG20" s="156" t="n">
        <v>0</v>
      </c>
      <c r="AH20" s="156" t="n">
        <v>0</v>
      </c>
      <c r="AI20" s="156" t="n">
        <v>0</v>
      </c>
      <c r="AJ20" s="156" t="n">
        <v>0</v>
      </c>
      <c r="AK20" s="156" t="n">
        <v>0</v>
      </c>
      <c r="AL20" s="156" t="n">
        <v>0</v>
      </c>
      <c r="AM20" s="156" t="n">
        <v>0</v>
      </c>
      <c r="AN20" s="156" t="n">
        <v>0</v>
      </c>
      <c r="AO20" s="84"/>
      <c r="AP20" s="482" t="n">
        <f aca="false">SUM(E20:AO20)</f>
        <v>0</v>
      </c>
      <c r="AQ20" s="648" t="n">
        <f aca="false">AQ19+1</f>
        <v>14</v>
      </c>
      <c r="AR20" s="635"/>
      <c r="AS20" s="635"/>
      <c r="AT20" s="635"/>
      <c r="AU20" s="635"/>
      <c r="AV20" s="635"/>
      <c r="AW20" s="635"/>
      <c r="AX20" s="635"/>
      <c r="AY20" s="635"/>
      <c r="AZ20" s="635"/>
      <c r="BA20" s="635"/>
      <c r="BB20" s="635"/>
      <c r="BC20" s="635"/>
      <c r="BD20" s="635"/>
      <c r="BE20" s="635"/>
      <c r="BF20" s="635"/>
      <c r="BG20" s="635"/>
      <c r="BH20" s="635"/>
      <c r="BI20" s="635"/>
      <c r="BJ20" s="635"/>
      <c r="BK20" s="635"/>
      <c r="BL20" s="635"/>
      <c r="BM20" s="635"/>
      <c r="BN20" s="635"/>
      <c r="BO20" s="635"/>
      <c r="BP20" s="635"/>
      <c r="BQ20" s="635"/>
      <c r="BR20" s="635"/>
      <c r="BS20" s="635"/>
      <c r="BT20" s="635"/>
      <c r="BU20" s="635"/>
      <c r="BV20" s="635"/>
      <c r="BW20" s="635"/>
      <c r="BX20" s="635"/>
      <c r="BY20" s="635"/>
      <c r="BZ20" s="635"/>
      <c r="CA20" s="635"/>
      <c r="CB20" s="635"/>
      <c r="CC20" s="635"/>
      <c r="CD20" s="635"/>
      <c r="CE20" s="635"/>
      <c r="CF20" s="635"/>
      <c r="CG20" s="635"/>
      <c r="CH20" s="635"/>
      <c r="CI20" s="635"/>
      <c r="CJ20" s="635"/>
      <c r="CK20" s="635"/>
      <c r="CL20" s="635"/>
      <c r="CM20" s="635"/>
      <c r="CN20" s="635"/>
      <c r="CO20" s="635"/>
      <c r="CP20" s="635"/>
      <c r="CQ20" s="635"/>
      <c r="CR20" s="635"/>
      <c r="CS20" s="635"/>
      <c r="CT20" s="635"/>
      <c r="CU20" s="635"/>
      <c r="CV20" s="635"/>
      <c r="CW20" s="635"/>
      <c r="CX20" s="635"/>
      <c r="CY20" s="635"/>
      <c r="CZ20" s="635"/>
      <c r="DA20" s="635"/>
      <c r="DB20" s="635"/>
      <c r="DC20" s="635"/>
      <c r="DD20" s="635"/>
      <c r="DE20" s="635"/>
      <c r="DF20" s="635"/>
      <c r="DG20" s="635"/>
      <c r="DH20" s="635"/>
      <c r="DI20" s="635"/>
      <c r="DJ20" s="635"/>
      <c r="DK20" s="635"/>
      <c r="DL20" s="635"/>
      <c r="DM20" s="635"/>
      <c r="DN20" s="635"/>
      <c r="DO20" s="635"/>
      <c r="DP20" s="635"/>
      <c r="DQ20" s="635"/>
      <c r="DR20" s="635"/>
      <c r="DS20" s="635"/>
      <c r="DT20" s="635"/>
      <c r="DU20" s="635"/>
      <c r="DV20" s="635"/>
      <c r="DW20" s="635"/>
      <c r="DX20" s="635"/>
      <c r="DY20" s="635"/>
      <c r="DZ20" s="635"/>
      <c r="EA20" s="635"/>
      <c r="EB20" s="635"/>
      <c r="EC20" s="635"/>
      <c r="ED20" s="635"/>
      <c r="EE20" s="635"/>
      <c r="EF20" s="635"/>
      <c r="EG20" s="635"/>
      <c r="EH20" s="635"/>
      <c r="EI20" s="635"/>
      <c r="EJ20" s="635"/>
      <c r="EK20" s="635"/>
      <c r="EL20" s="635"/>
      <c r="EM20" s="635"/>
      <c r="EN20" s="635"/>
      <c r="EO20" s="635"/>
      <c r="EP20" s="635"/>
      <c r="EQ20" s="635"/>
      <c r="ER20" s="635"/>
      <c r="ES20" s="635"/>
      <c r="ET20" s="635"/>
      <c r="EU20" s="635"/>
      <c r="EV20" s="635"/>
      <c r="EW20" s="635"/>
      <c r="EX20" s="635"/>
      <c r="EY20" s="635"/>
      <c r="EZ20" s="635"/>
      <c r="FA20" s="635"/>
      <c r="FB20" s="635"/>
      <c r="FC20" s="635"/>
      <c r="FD20" s="635"/>
      <c r="FE20" s="635"/>
      <c r="FF20" s="635"/>
      <c r="FG20" s="635"/>
      <c r="FH20" s="635"/>
      <c r="FI20" s="635"/>
      <c r="FJ20" s="635"/>
      <c r="FK20" s="635"/>
      <c r="FL20" s="635"/>
      <c r="FM20" s="635"/>
      <c r="FN20" s="635"/>
      <c r="FO20" s="635"/>
      <c r="FP20" s="635"/>
      <c r="FQ20" s="635"/>
      <c r="FR20" s="635"/>
      <c r="FS20" s="635"/>
      <c r="FT20" s="635"/>
      <c r="FU20" s="635"/>
      <c r="FV20" s="635"/>
      <c r="FW20" s="635"/>
      <c r="FX20" s="635"/>
      <c r="FY20" s="635"/>
      <c r="FZ20" s="635"/>
      <c r="GA20" s="635"/>
      <c r="GB20" s="635"/>
      <c r="GC20" s="635"/>
      <c r="GD20" s="635"/>
      <c r="GE20" s="635"/>
      <c r="GF20" s="635"/>
      <c r="GG20" s="635"/>
      <c r="GH20" s="635"/>
      <c r="GI20" s="635"/>
      <c r="GJ20" s="635"/>
      <c r="GK20" s="635"/>
      <c r="GL20" s="635"/>
      <c r="GM20" s="635"/>
      <c r="GN20" s="635"/>
      <c r="GO20" s="635"/>
      <c r="GP20" s="635"/>
      <c r="GQ20" s="635"/>
      <c r="GR20" s="635"/>
      <c r="GS20" s="635"/>
      <c r="GT20" s="635"/>
      <c r="GU20" s="635"/>
      <c r="GV20" s="635"/>
      <c r="GW20" s="635"/>
      <c r="GX20" s="635"/>
      <c r="GY20" s="635"/>
      <c r="GZ20" s="635"/>
      <c r="HA20" s="635"/>
      <c r="HB20" s="635"/>
      <c r="HC20" s="635"/>
      <c r="HD20" s="635"/>
      <c r="HE20" s="635"/>
      <c r="HF20" s="635"/>
      <c r="HG20" s="635"/>
      <c r="HH20" s="635"/>
      <c r="HI20" s="635"/>
      <c r="HJ20" s="635"/>
      <c r="HK20" s="635"/>
      <c r="HL20" s="635"/>
      <c r="HM20" s="635"/>
      <c r="HN20" s="635"/>
      <c r="HO20" s="635"/>
      <c r="HP20" s="635"/>
      <c r="HQ20" s="635"/>
      <c r="HR20" s="635"/>
      <c r="HS20" s="635"/>
      <c r="HT20" s="635"/>
      <c r="HU20" s="635"/>
      <c r="HV20" s="635"/>
      <c r="HW20" s="635"/>
      <c r="HX20" s="635"/>
      <c r="HY20" s="635"/>
      <c r="HZ20" s="635"/>
      <c r="IA20" s="635"/>
      <c r="IB20" s="635"/>
      <c r="IC20" s="635"/>
      <c r="ID20" s="635"/>
      <c r="IE20" s="635"/>
      <c r="IF20" s="635"/>
      <c r="IG20" s="635"/>
      <c r="IH20" s="635"/>
      <c r="II20" s="635"/>
      <c r="IJ20" s="635"/>
      <c r="IK20" s="635"/>
      <c r="IL20" s="635"/>
      <c r="IM20" s="635"/>
      <c r="IN20" s="635"/>
      <c r="IO20" s="635"/>
      <c r="IP20" s="635"/>
      <c r="IQ20" s="635"/>
      <c r="IR20" s="635"/>
      <c r="IS20" s="635"/>
      <c r="IT20" s="635"/>
      <c r="IU20" s="635"/>
      <c r="IV20" s="635"/>
      <c r="IW20" s="635"/>
    </row>
    <row r="21" customFormat="false" ht="12.75" hidden="false" customHeight="false" outlineLevel="0" collapsed="false">
      <c r="A21" s="649" t="str">
        <f aca="false">Assm!N19</f>
        <v>Other Engineering Costs</v>
      </c>
      <c r="B21" s="112"/>
      <c r="C21" s="174" t="n">
        <f aca="false">Assm!R19</f>
        <v>26</v>
      </c>
      <c r="D21" s="84"/>
      <c r="E21" s="156" t="n">
        <v>0</v>
      </c>
      <c r="F21" s="156" t="n">
        <v>0</v>
      </c>
      <c r="G21" s="156" t="n">
        <v>0</v>
      </c>
      <c r="H21" s="156" t="n">
        <v>0</v>
      </c>
      <c r="I21" s="156" t="n">
        <v>0</v>
      </c>
      <c r="J21" s="156" t="n">
        <v>0</v>
      </c>
      <c r="K21" s="156" t="n">
        <v>0</v>
      </c>
      <c r="L21" s="156" t="n">
        <v>0</v>
      </c>
      <c r="M21" s="156" t="n">
        <v>0</v>
      </c>
      <c r="N21" s="156" t="n">
        <v>0</v>
      </c>
      <c r="O21" s="156" t="n">
        <v>0</v>
      </c>
      <c r="P21" s="156" t="n">
        <v>0</v>
      </c>
      <c r="Q21" s="156" t="n">
        <v>0</v>
      </c>
      <c r="R21" s="156" t="n">
        <v>0</v>
      </c>
      <c r="S21" s="156" t="n">
        <v>0</v>
      </c>
      <c r="T21" s="156" t="n">
        <v>0</v>
      </c>
      <c r="U21" s="156" t="n">
        <v>0</v>
      </c>
      <c r="V21" s="156" t="n">
        <v>0</v>
      </c>
      <c r="W21" s="156" t="n">
        <v>0</v>
      </c>
      <c r="X21" s="156" t="n">
        <v>0</v>
      </c>
      <c r="Y21" s="156" t="n">
        <v>0</v>
      </c>
      <c r="Z21" s="156" t="n">
        <v>0</v>
      </c>
      <c r="AA21" s="156" t="n">
        <v>0</v>
      </c>
      <c r="AB21" s="156" t="n">
        <v>0</v>
      </c>
      <c r="AC21" s="156" t="n">
        <v>0</v>
      </c>
      <c r="AD21" s="156" t="n">
        <v>0</v>
      </c>
      <c r="AE21" s="156" t="n">
        <v>0</v>
      </c>
      <c r="AF21" s="156" t="n">
        <v>0</v>
      </c>
      <c r="AG21" s="156" t="n">
        <v>0</v>
      </c>
      <c r="AH21" s="156" t="n">
        <v>0</v>
      </c>
      <c r="AI21" s="156" t="n">
        <v>0</v>
      </c>
      <c r="AJ21" s="156" t="n">
        <v>0</v>
      </c>
      <c r="AK21" s="156" t="n">
        <v>0</v>
      </c>
      <c r="AL21" s="156" t="n">
        <v>0</v>
      </c>
      <c r="AM21" s="156" t="n">
        <v>0</v>
      </c>
      <c r="AN21" s="156" t="n">
        <v>0</v>
      </c>
      <c r="AO21" s="84"/>
      <c r="AP21" s="482" t="n">
        <f aca="false">SUM(E21:AO21)</f>
        <v>0</v>
      </c>
      <c r="AQ21" s="648" t="n">
        <f aca="false">AQ20+1</f>
        <v>15</v>
      </c>
      <c r="AR21" s="635"/>
      <c r="AS21" s="635"/>
      <c r="AT21" s="635"/>
      <c r="AU21" s="635"/>
      <c r="AV21" s="635"/>
      <c r="AW21" s="635"/>
      <c r="AX21" s="635"/>
      <c r="AY21" s="635"/>
      <c r="AZ21" s="635"/>
      <c r="BA21" s="635"/>
      <c r="BB21" s="635"/>
      <c r="BC21" s="635"/>
      <c r="BD21" s="635"/>
      <c r="BE21" s="635"/>
      <c r="BF21" s="635"/>
      <c r="BG21" s="635"/>
      <c r="BH21" s="635"/>
      <c r="BI21" s="635"/>
      <c r="BJ21" s="635"/>
      <c r="BK21" s="635"/>
      <c r="BL21" s="635"/>
      <c r="BM21" s="635"/>
      <c r="BN21" s="635"/>
      <c r="BO21" s="635"/>
      <c r="BP21" s="635"/>
      <c r="BQ21" s="635"/>
      <c r="BR21" s="635"/>
      <c r="BS21" s="635"/>
      <c r="BT21" s="635"/>
      <c r="BU21" s="635"/>
      <c r="BV21" s="635"/>
      <c r="BW21" s="635"/>
      <c r="BX21" s="635"/>
      <c r="BY21" s="635"/>
      <c r="BZ21" s="635"/>
      <c r="CA21" s="635"/>
      <c r="CB21" s="635"/>
      <c r="CC21" s="635"/>
      <c r="CD21" s="635"/>
      <c r="CE21" s="635"/>
      <c r="CF21" s="635"/>
      <c r="CG21" s="635"/>
      <c r="CH21" s="635"/>
      <c r="CI21" s="635"/>
      <c r="CJ21" s="635"/>
      <c r="CK21" s="635"/>
      <c r="CL21" s="635"/>
      <c r="CM21" s="635"/>
      <c r="CN21" s="635"/>
      <c r="CO21" s="635"/>
      <c r="CP21" s="635"/>
      <c r="CQ21" s="635"/>
      <c r="CR21" s="635"/>
      <c r="CS21" s="635"/>
      <c r="CT21" s="635"/>
      <c r="CU21" s="635"/>
      <c r="CV21" s="635"/>
      <c r="CW21" s="635"/>
      <c r="CX21" s="635"/>
      <c r="CY21" s="635"/>
      <c r="CZ21" s="635"/>
      <c r="DA21" s="635"/>
      <c r="DB21" s="635"/>
      <c r="DC21" s="635"/>
      <c r="DD21" s="635"/>
      <c r="DE21" s="635"/>
      <c r="DF21" s="635"/>
      <c r="DG21" s="635"/>
      <c r="DH21" s="635"/>
      <c r="DI21" s="635"/>
      <c r="DJ21" s="635"/>
      <c r="DK21" s="635"/>
      <c r="DL21" s="635"/>
      <c r="DM21" s="635"/>
      <c r="DN21" s="635"/>
      <c r="DO21" s="635"/>
      <c r="DP21" s="635"/>
      <c r="DQ21" s="635"/>
      <c r="DR21" s="635"/>
      <c r="DS21" s="635"/>
      <c r="DT21" s="635"/>
      <c r="DU21" s="635"/>
      <c r="DV21" s="635"/>
      <c r="DW21" s="635"/>
      <c r="DX21" s="635"/>
      <c r="DY21" s="635"/>
      <c r="DZ21" s="635"/>
      <c r="EA21" s="635"/>
      <c r="EB21" s="635"/>
      <c r="EC21" s="635"/>
      <c r="ED21" s="635"/>
      <c r="EE21" s="635"/>
      <c r="EF21" s="635"/>
      <c r="EG21" s="635"/>
      <c r="EH21" s="635"/>
      <c r="EI21" s="635"/>
      <c r="EJ21" s="635"/>
      <c r="EK21" s="635"/>
      <c r="EL21" s="635"/>
      <c r="EM21" s="635"/>
      <c r="EN21" s="635"/>
      <c r="EO21" s="635"/>
      <c r="EP21" s="635"/>
      <c r="EQ21" s="635"/>
      <c r="ER21" s="635"/>
      <c r="ES21" s="635"/>
      <c r="ET21" s="635"/>
      <c r="EU21" s="635"/>
      <c r="EV21" s="635"/>
      <c r="EW21" s="635"/>
      <c r="EX21" s="635"/>
      <c r="EY21" s="635"/>
      <c r="EZ21" s="635"/>
      <c r="FA21" s="635"/>
      <c r="FB21" s="635"/>
      <c r="FC21" s="635"/>
      <c r="FD21" s="635"/>
      <c r="FE21" s="635"/>
      <c r="FF21" s="635"/>
      <c r="FG21" s="635"/>
      <c r="FH21" s="635"/>
      <c r="FI21" s="635"/>
      <c r="FJ21" s="635"/>
      <c r="FK21" s="635"/>
      <c r="FL21" s="635"/>
      <c r="FM21" s="635"/>
      <c r="FN21" s="635"/>
      <c r="FO21" s="635"/>
      <c r="FP21" s="635"/>
      <c r="FQ21" s="635"/>
      <c r="FR21" s="635"/>
      <c r="FS21" s="635"/>
      <c r="FT21" s="635"/>
      <c r="FU21" s="635"/>
      <c r="FV21" s="635"/>
      <c r="FW21" s="635"/>
      <c r="FX21" s="635"/>
      <c r="FY21" s="635"/>
      <c r="FZ21" s="635"/>
      <c r="GA21" s="635"/>
      <c r="GB21" s="635"/>
      <c r="GC21" s="635"/>
      <c r="GD21" s="635"/>
      <c r="GE21" s="635"/>
      <c r="GF21" s="635"/>
      <c r="GG21" s="635"/>
      <c r="GH21" s="635"/>
      <c r="GI21" s="635"/>
      <c r="GJ21" s="635"/>
      <c r="GK21" s="635"/>
      <c r="GL21" s="635"/>
      <c r="GM21" s="635"/>
      <c r="GN21" s="635"/>
      <c r="GO21" s="635"/>
      <c r="GP21" s="635"/>
      <c r="GQ21" s="635"/>
      <c r="GR21" s="635"/>
      <c r="GS21" s="635"/>
      <c r="GT21" s="635"/>
      <c r="GU21" s="635"/>
      <c r="GV21" s="635"/>
      <c r="GW21" s="635"/>
      <c r="GX21" s="635"/>
      <c r="GY21" s="635"/>
      <c r="GZ21" s="635"/>
      <c r="HA21" s="635"/>
      <c r="HB21" s="635"/>
      <c r="HC21" s="635"/>
      <c r="HD21" s="635"/>
      <c r="HE21" s="635"/>
      <c r="HF21" s="635"/>
      <c r="HG21" s="635"/>
      <c r="HH21" s="635"/>
      <c r="HI21" s="635"/>
      <c r="HJ21" s="635"/>
      <c r="HK21" s="635"/>
      <c r="HL21" s="635"/>
      <c r="HM21" s="635"/>
      <c r="HN21" s="635"/>
      <c r="HO21" s="635"/>
      <c r="HP21" s="635"/>
      <c r="HQ21" s="635"/>
      <c r="HR21" s="635"/>
      <c r="HS21" s="635"/>
      <c r="HT21" s="635"/>
      <c r="HU21" s="635"/>
      <c r="HV21" s="635"/>
      <c r="HW21" s="635"/>
      <c r="HX21" s="635"/>
      <c r="HY21" s="635"/>
      <c r="HZ21" s="635"/>
      <c r="IA21" s="635"/>
      <c r="IB21" s="635"/>
      <c r="IC21" s="635"/>
      <c r="ID21" s="635"/>
      <c r="IE21" s="635"/>
      <c r="IF21" s="635"/>
      <c r="IG21" s="635"/>
      <c r="IH21" s="635"/>
      <c r="II21" s="635"/>
      <c r="IJ21" s="635"/>
      <c r="IK21" s="635"/>
      <c r="IL21" s="635"/>
      <c r="IM21" s="635"/>
      <c r="IN21" s="635"/>
      <c r="IO21" s="635"/>
      <c r="IP21" s="635"/>
      <c r="IQ21" s="635"/>
      <c r="IR21" s="635"/>
      <c r="IS21" s="635"/>
      <c r="IT21" s="635"/>
      <c r="IU21" s="635"/>
      <c r="IV21" s="635"/>
      <c r="IW21" s="635"/>
    </row>
    <row r="22" customFormat="false" ht="12.75" hidden="false" customHeight="false" outlineLevel="0" collapsed="false">
      <c r="A22" s="649" t="str">
        <f aca="false">Assm!N20</f>
        <v>Environmental &amp; Permitting</v>
      </c>
      <c r="B22" s="112"/>
      <c r="C22" s="174" t="n">
        <f aca="false">Assm!R20</f>
        <v>7450.98355777778</v>
      </c>
      <c r="D22" s="84"/>
      <c r="E22" s="156" t="n">
        <v>0</v>
      </c>
      <c r="F22" s="156" t="n">
        <v>0</v>
      </c>
      <c r="G22" s="156" t="n">
        <v>0</v>
      </c>
      <c r="H22" s="156" t="n">
        <v>0</v>
      </c>
      <c r="I22" s="156" t="n">
        <v>0</v>
      </c>
      <c r="J22" s="156" t="n">
        <v>0</v>
      </c>
      <c r="K22" s="156" t="n">
        <v>0</v>
      </c>
      <c r="L22" s="156" t="n">
        <v>0</v>
      </c>
      <c r="M22" s="156" t="n">
        <v>0</v>
      </c>
      <c r="N22" s="156" t="n">
        <v>0</v>
      </c>
      <c r="O22" s="156" t="n">
        <v>0</v>
      </c>
      <c r="P22" s="156" t="n">
        <v>0</v>
      </c>
      <c r="Q22" s="156" t="n">
        <v>0</v>
      </c>
      <c r="R22" s="156" t="n">
        <v>0</v>
      </c>
      <c r="S22" s="156" t="n">
        <v>0</v>
      </c>
      <c r="T22" s="156" t="n">
        <v>0</v>
      </c>
      <c r="U22" s="156" t="n">
        <v>0</v>
      </c>
      <c r="V22" s="156" t="n">
        <v>0</v>
      </c>
      <c r="W22" s="156" t="n">
        <v>0</v>
      </c>
      <c r="X22" s="156" t="n">
        <v>0</v>
      </c>
      <c r="Y22" s="156" t="n">
        <v>0</v>
      </c>
      <c r="Z22" s="156" t="n">
        <v>0</v>
      </c>
      <c r="AA22" s="156" t="n">
        <v>0</v>
      </c>
      <c r="AB22" s="156" t="n">
        <v>0</v>
      </c>
      <c r="AC22" s="156" t="n">
        <v>0</v>
      </c>
      <c r="AD22" s="156" t="n">
        <v>0</v>
      </c>
      <c r="AE22" s="156" t="n">
        <v>0</v>
      </c>
      <c r="AF22" s="156" t="n">
        <v>0</v>
      </c>
      <c r="AG22" s="156" t="n">
        <v>0</v>
      </c>
      <c r="AH22" s="156" t="n">
        <v>0</v>
      </c>
      <c r="AI22" s="156" t="n">
        <v>0</v>
      </c>
      <c r="AJ22" s="156" t="n">
        <v>0</v>
      </c>
      <c r="AK22" s="156" t="n">
        <v>0</v>
      </c>
      <c r="AL22" s="156" t="n">
        <v>0</v>
      </c>
      <c r="AM22" s="156" t="n">
        <v>0</v>
      </c>
      <c r="AN22" s="156" t="n">
        <v>0</v>
      </c>
      <c r="AO22" s="84"/>
      <c r="AP22" s="482" t="n">
        <f aca="false">SUM(E22:AO22)</f>
        <v>0</v>
      </c>
      <c r="AQ22" s="648" t="n">
        <f aca="false">AQ21+1</f>
        <v>16</v>
      </c>
      <c r="AR22" s="635"/>
      <c r="AS22" s="635"/>
      <c r="AT22" s="635"/>
      <c r="AU22" s="635"/>
      <c r="AV22" s="635"/>
      <c r="AW22" s="635"/>
      <c r="AX22" s="635"/>
      <c r="AY22" s="635"/>
      <c r="AZ22" s="635"/>
      <c r="BA22" s="635"/>
      <c r="BB22" s="635"/>
      <c r="BC22" s="635"/>
      <c r="BD22" s="635"/>
      <c r="BE22" s="635"/>
      <c r="BF22" s="635"/>
      <c r="BG22" s="635"/>
      <c r="BH22" s="635"/>
      <c r="BI22" s="635"/>
      <c r="BJ22" s="635"/>
      <c r="BK22" s="635"/>
      <c r="BL22" s="635"/>
      <c r="BM22" s="635"/>
      <c r="BN22" s="635"/>
      <c r="BO22" s="635"/>
      <c r="BP22" s="635"/>
      <c r="BQ22" s="635"/>
      <c r="BR22" s="635"/>
      <c r="BS22" s="635"/>
      <c r="BT22" s="635"/>
      <c r="BU22" s="635"/>
      <c r="BV22" s="635"/>
      <c r="BW22" s="635"/>
      <c r="BX22" s="635"/>
      <c r="BY22" s="635"/>
      <c r="BZ22" s="635"/>
      <c r="CA22" s="635"/>
      <c r="CB22" s="635"/>
      <c r="CC22" s="635"/>
      <c r="CD22" s="635"/>
      <c r="CE22" s="635"/>
      <c r="CF22" s="635"/>
      <c r="CG22" s="635"/>
      <c r="CH22" s="635"/>
      <c r="CI22" s="635"/>
      <c r="CJ22" s="635"/>
      <c r="CK22" s="635"/>
      <c r="CL22" s="635"/>
      <c r="CM22" s="635"/>
      <c r="CN22" s="635"/>
      <c r="CO22" s="635"/>
      <c r="CP22" s="635"/>
      <c r="CQ22" s="635"/>
      <c r="CR22" s="635"/>
      <c r="CS22" s="635"/>
      <c r="CT22" s="635"/>
      <c r="CU22" s="635"/>
      <c r="CV22" s="635"/>
      <c r="CW22" s="635"/>
      <c r="CX22" s="635"/>
      <c r="CY22" s="635"/>
      <c r="CZ22" s="635"/>
      <c r="DA22" s="635"/>
      <c r="DB22" s="635"/>
      <c r="DC22" s="635"/>
      <c r="DD22" s="635"/>
      <c r="DE22" s="635"/>
      <c r="DF22" s="635"/>
      <c r="DG22" s="635"/>
      <c r="DH22" s="635"/>
      <c r="DI22" s="635"/>
      <c r="DJ22" s="635"/>
      <c r="DK22" s="635"/>
      <c r="DL22" s="635"/>
      <c r="DM22" s="635"/>
      <c r="DN22" s="635"/>
      <c r="DO22" s="635"/>
      <c r="DP22" s="635"/>
      <c r="DQ22" s="635"/>
      <c r="DR22" s="635"/>
      <c r="DS22" s="635"/>
      <c r="DT22" s="635"/>
      <c r="DU22" s="635"/>
      <c r="DV22" s="635"/>
      <c r="DW22" s="635"/>
      <c r="DX22" s="635"/>
      <c r="DY22" s="635"/>
      <c r="DZ22" s="635"/>
      <c r="EA22" s="635"/>
      <c r="EB22" s="635"/>
      <c r="EC22" s="635"/>
      <c r="ED22" s="635"/>
      <c r="EE22" s="635"/>
      <c r="EF22" s="635"/>
      <c r="EG22" s="635"/>
      <c r="EH22" s="635"/>
      <c r="EI22" s="635"/>
      <c r="EJ22" s="635"/>
      <c r="EK22" s="635"/>
      <c r="EL22" s="635"/>
      <c r="EM22" s="635"/>
      <c r="EN22" s="635"/>
      <c r="EO22" s="635"/>
      <c r="EP22" s="635"/>
      <c r="EQ22" s="635"/>
      <c r="ER22" s="635"/>
      <c r="ES22" s="635"/>
      <c r="ET22" s="635"/>
      <c r="EU22" s="635"/>
      <c r="EV22" s="635"/>
      <c r="EW22" s="635"/>
      <c r="EX22" s="635"/>
      <c r="EY22" s="635"/>
      <c r="EZ22" s="635"/>
      <c r="FA22" s="635"/>
      <c r="FB22" s="635"/>
      <c r="FC22" s="635"/>
      <c r="FD22" s="635"/>
      <c r="FE22" s="635"/>
      <c r="FF22" s="635"/>
      <c r="FG22" s="635"/>
      <c r="FH22" s="635"/>
      <c r="FI22" s="635"/>
      <c r="FJ22" s="635"/>
      <c r="FK22" s="635"/>
      <c r="FL22" s="635"/>
      <c r="FM22" s="635"/>
      <c r="FN22" s="635"/>
      <c r="FO22" s="635"/>
      <c r="FP22" s="635"/>
      <c r="FQ22" s="635"/>
      <c r="FR22" s="635"/>
      <c r="FS22" s="635"/>
      <c r="FT22" s="635"/>
      <c r="FU22" s="635"/>
      <c r="FV22" s="635"/>
      <c r="FW22" s="635"/>
      <c r="FX22" s="635"/>
      <c r="FY22" s="635"/>
      <c r="FZ22" s="635"/>
      <c r="GA22" s="635"/>
      <c r="GB22" s="635"/>
      <c r="GC22" s="635"/>
      <c r="GD22" s="635"/>
      <c r="GE22" s="635"/>
      <c r="GF22" s="635"/>
      <c r="GG22" s="635"/>
      <c r="GH22" s="635"/>
      <c r="GI22" s="635"/>
      <c r="GJ22" s="635"/>
      <c r="GK22" s="635"/>
      <c r="GL22" s="635"/>
      <c r="GM22" s="635"/>
      <c r="GN22" s="635"/>
      <c r="GO22" s="635"/>
      <c r="GP22" s="635"/>
      <c r="GQ22" s="635"/>
      <c r="GR22" s="635"/>
      <c r="GS22" s="635"/>
      <c r="GT22" s="635"/>
      <c r="GU22" s="635"/>
      <c r="GV22" s="635"/>
      <c r="GW22" s="635"/>
      <c r="GX22" s="635"/>
      <c r="GY22" s="635"/>
      <c r="GZ22" s="635"/>
      <c r="HA22" s="635"/>
      <c r="HB22" s="635"/>
      <c r="HC22" s="635"/>
      <c r="HD22" s="635"/>
      <c r="HE22" s="635"/>
      <c r="HF22" s="635"/>
      <c r="HG22" s="635"/>
      <c r="HH22" s="635"/>
      <c r="HI22" s="635"/>
      <c r="HJ22" s="635"/>
      <c r="HK22" s="635"/>
      <c r="HL22" s="635"/>
      <c r="HM22" s="635"/>
      <c r="HN22" s="635"/>
      <c r="HO22" s="635"/>
      <c r="HP22" s="635"/>
      <c r="HQ22" s="635"/>
      <c r="HR22" s="635"/>
      <c r="HS22" s="635"/>
      <c r="HT22" s="635"/>
      <c r="HU22" s="635"/>
      <c r="HV22" s="635"/>
      <c r="HW22" s="635"/>
      <c r="HX22" s="635"/>
      <c r="HY22" s="635"/>
      <c r="HZ22" s="635"/>
      <c r="IA22" s="635"/>
      <c r="IB22" s="635"/>
      <c r="IC22" s="635"/>
      <c r="ID22" s="635"/>
      <c r="IE22" s="635"/>
      <c r="IF22" s="635"/>
      <c r="IG22" s="635"/>
      <c r="IH22" s="635"/>
      <c r="II22" s="635"/>
      <c r="IJ22" s="635"/>
      <c r="IK22" s="635"/>
      <c r="IL22" s="635"/>
      <c r="IM22" s="635"/>
      <c r="IN22" s="635"/>
      <c r="IO22" s="635"/>
      <c r="IP22" s="635"/>
      <c r="IQ22" s="635"/>
      <c r="IR22" s="635"/>
      <c r="IS22" s="635"/>
      <c r="IT22" s="635"/>
      <c r="IU22" s="635"/>
      <c r="IV22" s="635"/>
      <c r="IW22" s="635"/>
    </row>
    <row r="23" customFormat="false" ht="12.75" hidden="false" customHeight="false" outlineLevel="0" collapsed="false">
      <c r="A23" s="649" t="str">
        <f aca="false">Assm!N21</f>
        <v>Ingidenous People Programs</v>
      </c>
      <c r="B23" s="112"/>
      <c r="C23" s="484" t="n">
        <f aca="false">Assm!R21</f>
        <v>988.825381111111</v>
      </c>
      <c r="D23" s="84"/>
      <c r="E23" s="177" t="n">
        <v>0</v>
      </c>
      <c r="F23" s="177" t="n">
        <v>0</v>
      </c>
      <c r="G23" s="177" t="n">
        <v>0</v>
      </c>
      <c r="H23" s="177" t="n">
        <v>0</v>
      </c>
      <c r="I23" s="177" t="n">
        <v>0</v>
      </c>
      <c r="J23" s="177" t="n">
        <v>0</v>
      </c>
      <c r="K23" s="177" t="n">
        <v>0</v>
      </c>
      <c r="L23" s="177" t="n">
        <v>0</v>
      </c>
      <c r="M23" s="177" t="n">
        <v>0</v>
      </c>
      <c r="N23" s="177" t="n">
        <v>0</v>
      </c>
      <c r="O23" s="177" t="n">
        <v>0</v>
      </c>
      <c r="P23" s="177" t="n">
        <v>0</v>
      </c>
      <c r="Q23" s="177" t="n">
        <v>0</v>
      </c>
      <c r="R23" s="177" t="n">
        <v>0</v>
      </c>
      <c r="S23" s="177" t="n">
        <v>0</v>
      </c>
      <c r="T23" s="177" t="n">
        <v>0</v>
      </c>
      <c r="U23" s="177" t="n">
        <v>0</v>
      </c>
      <c r="V23" s="177" t="n">
        <v>0</v>
      </c>
      <c r="W23" s="177" t="n">
        <v>0</v>
      </c>
      <c r="X23" s="177" t="n">
        <v>0</v>
      </c>
      <c r="Y23" s="177" t="n">
        <v>0</v>
      </c>
      <c r="Z23" s="177" t="n">
        <v>0</v>
      </c>
      <c r="AA23" s="177" t="n">
        <v>0</v>
      </c>
      <c r="AB23" s="177" t="n">
        <v>0</v>
      </c>
      <c r="AC23" s="177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84"/>
      <c r="AP23" s="485" t="n">
        <f aca="false">SUM(E23:AO23)</f>
        <v>0</v>
      </c>
      <c r="AQ23" s="648" t="n">
        <f aca="false">AQ22+1</f>
        <v>17</v>
      </c>
      <c r="AR23" s="635"/>
      <c r="AS23" s="635"/>
      <c r="AT23" s="635"/>
      <c r="AU23" s="635"/>
      <c r="AV23" s="635"/>
      <c r="AW23" s="635"/>
      <c r="AX23" s="635"/>
      <c r="AY23" s="635"/>
      <c r="AZ23" s="635"/>
      <c r="BA23" s="635"/>
      <c r="BB23" s="635"/>
      <c r="BC23" s="635"/>
      <c r="BD23" s="635"/>
      <c r="BE23" s="635"/>
      <c r="BF23" s="635"/>
      <c r="BG23" s="635"/>
      <c r="BH23" s="635"/>
      <c r="BI23" s="635"/>
      <c r="BJ23" s="635"/>
      <c r="BK23" s="635"/>
      <c r="BL23" s="635"/>
      <c r="BM23" s="635"/>
      <c r="BN23" s="635"/>
      <c r="BO23" s="635"/>
      <c r="BP23" s="635"/>
      <c r="BQ23" s="635"/>
      <c r="BR23" s="635"/>
      <c r="BS23" s="635"/>
      <c r="BT23" s="635"/>
      <c r="BU23" s="635"/>
      <c r="BV23" s="635"/>
      <c r="BW23" s="635"/>
      <c r="BX23" s="635"/>
      <c r="BY23" s="635"/>
      <c r="BZ23" s="635"/>
      <c r="CA23" s="635"/>
      <c r="CB23" s="635"/>
      <c r="CC23" s="635"/>
      <c r="CD23" s="635"/>
      <c r="CE23" s="635"/>
      <c r="CF23" s="635"/>
      <c r="CG23" s="635"/>
      <c r="CH23" s="635"/>
      <c r="CI23" s="635"/>
      <c r="CJ23" s="635"/>
      <c r="CK23" s="635"/>
      <c r="CL23" s="635"/>
      <c r="CM23" s="635"/>
      <c r="CN23" s="635"/>
      <c r="CO23" s="635"/>
      <c r="CP23" s="635"/>
      <c r="CQ23" s="635"/>
      <c r="CR23" s="635"/>
      <c r="CS23" s="635"/>
      <c r="CT23" s="635"/>
      <c r="CU23" s="635"/>
      <c r="CV23" s="635"/>
      <c r="CW23" s="635"/>
      <c r="CX23" s="635"/>
      <c r="CY23" s="635"/>
      <c r="CZ23" s="635"/>
      <c r="DA23" s="635"/>
      <c r="DB23" s="635"/>
      <c r="DC23" s="635"/>
      <c r="DD23" s="635"/>
      <c r="DE23" s="635"/>
      <c r="DF23" s="635"/>
      <c r="DG23" s="635"/>
      <c r="DH23" s="635"/>
      <c r="DI23" s="635"/>
      <c r="DJ23" s="635"/>
      <c r="DK23" s="635"/>
      <c r="DL23" s="635"/>
      <c r="DM23" s="635"/>
      <c r="DN23" s="635"/>
      <c r="DO23" s="635"/>
      <c r="DP23" s="635"/>
      <c r="DQ23" s="635"/>
      <c r="DR23" s="635"/>
      <c r="DS23" s="635"/>
      <c r="DT23" s="635"/>
      <c r="DU23" s="635"/>
      <c r="DV23" s="635"/>
      <c r="DW23" s="635"/>
      <c r="DX23" s="635"/>
      <c r="DY23" s="635"/>
      <c r="DZ23" s="635"/>
      <c r="EA23" s="635"/>
      <c r="EB23" s="635"/>
      <c r="EC23" s="635"/>
      <c r="ED23" s="635"/>
      <c r="EE23" s="635"/>
      <c r="EF23" s="635"/>
      <c r="EG23" s="635"/>
      <c r="EH23" s="635"/>
      <c r="EI23" s="635"/>
      <c r="EJ23" s="635"/>
      <c r="EK23" s="635"/>
      <c r="EL23" s="635"/>
      <c r="EM23" s="635"/>
      <c r="EN23" s="635"/>
      <c r="EO23" s="635"/>
      <c r="EP23" s="635"/>
      <c r="EQ23" s="635"/>
      <c r="ER23" s="635"/>
      <c r="ES23" s="635"/>
      <c r="ET23" s="635"/>
      <c r="EU23" s="635"/>
      <c r="EV23" s="635"/>
      <c r="EW23" s="635"/>
      <c r="EX23" s="635"/>
      <c r="EY23" s="635"/>
      <c r="EZ23" s="635"/>
      <c r="FA23" s="635"/>
      <c r="FB23" s="635"/>
      <c r="FC23" s="635"/>
      <c r="FD23" s="635"/>
      <c r="FE23" s="635"/>
      <c r="FF23" s="635"/>
      <c r="FG23" s="635"/>
      <c r="FH23" s="635"/>
      <c r="FI23" s="635"/>
      <c r="FJ23" s="635"/>
      <c r="FK23" s="635"/>
      <c r="FL23" s="635"/>
      <c r="FM23" s="635"/>
      <c r="FN23" s="635"/>
      <c r="FO23" s="635"/>
      <c r="FP23" s="635"/>
      <c r="FQ23" s="635"/>
      <c r="FR23" s="635"/>
      <c r="FS23" s="635"/>
      <c r="FT23" s="635"/>
      <c r="FU23" s="635"/>
      <c r="FV23" s="635"/>
      <c r="FW23" s="635"/>
      <c r="FX23" s="635"/>
      <c r="FY23" s="635"/>
      <c r="FZ23" s="635"/>
      <c r="GA23" s="635"/>
      <c r="GB23" s="635"/>
      <c r="GC23" s="635"/>
      <c r="GD23" s="635"/>
      <c r="GE23" s="635"/>
      <c r="GF23" s="635"/>
      <c r="GG23" s="635"/>
      <c r="GH23" s="635"/>
      <c r="GI23" s="635"/>
      <c r="GJ23" s="635"/>
      <c r="GK23" s="635"/>
      <c r="GL23" s="635"/>
      <c r="GM23" s="635"/>
      <c r="GN23" s="635"/>
      <c r="GO23" s="635"/>
      <c r="GP23" s="635"/>
      <c r="GQ23" s="635"/>
      <c r="GR23" s="635"/>
      <c r="GS23" s="635"/>
      <c r="GT23" s="635"/>
      <c r="GU23" s="635"/>
      <c r="GV23" s="635"/>
      <c r="GW23" s="635"/>
      <c r="GX23" s="635"/>
      <c r="GY23" s="635"/>
      <c r="GZ23" s="635"/>
      <c r="HA23" s="635"/>
      <c r="HB23" s="635"/>
      <c r="HC23" s="635"/>
      <c r="HD23" s="635"/>
      <c r="HE23" s="635"/>
      <c r="HF23" s="635"/>
      <c r="HG23" s="635"/>
      <c r="HH23" s="635"/>
      <c r="HI23" s="635"/>
      <c r="HJ23" s="635"/>
      <c r="HK23" s="635"/>
      <c r="HL23" s="635"/>
      <c r="HM23" s="635"/>
      <c r="HN23" s="635"/>
      <c r="HO23" s="635"/>
      <c r="HP23" s="635"/>
      <c r="HQ23" s="635"/>
      <c r="HR23" s="635"/>
      <c r="HS23" s="635"/>
      <c r="HT23" s="635"/>
      <c r="HU23" s="635"/>
      <c r="HV23" s="635"/>
      <c r="HW23" s="635"/>
      <c r="HX23" s="635"/>
      <c r="HY23" s="635"/>
      <c r="HZ23" s="635"/>
      <c r="IA23" s="635"/>
      <c r="IB23" s="635"/>
      <c r="IC23" s="635"/>
      <c r="ID23" s="635"/>
      <c r="IE23" s="635"/>
      <c r="IF23" s="635"/>
      <c r="IG23" s="635"/>
      <c r="IH23" s="635"/>
      <c r="II23" s="635"/>
      <c r="IJ23" s="635"/>
      <c r="IK23" s="635"/>
      <c r="IL23" s="635"/>
      <c r="IM23" s="635"/>
      <c r="IN23" s="635"/>
      <c r="IO23" s="635"/>
      <c r="IP23" s="635"/>
      <c r="IQ23" s="635"/>
      <c r="IR23" s="635"/>
      <c r="IS23" s="635"/>
      <c r="IT23" s="635"/>
      <c r="IU23" s="635"/>
      <c r="IV23" s="635"/>
      <c r="IW23" s="635"/>
    </row>
    <row r="24" customFormat="false" ht="12.75" hidden="false" customHeight="false" outlineLevel="0" collapsed="false">
      <c r="A24" s="649" t="str">
        <f aca="false">Assm!N22</f>
        <v>Total Other Construction</v>
      </c>
      <c r="B24" s="112"/>
      <c r="C24" s="174" t="n">
        <f aca="false">SUM(C17:C23)</f>
        <v>12011.8089388889</v>
      </c>
      <c r="D24" s="84"/>
      <c r="E24" s="174" t="n">
        <f aca="false">SUM(E17:E23)</f>
        <v>0</v>
      </c>
      <c r="F24" s="174" t="n">
        <f aca="false">SUM(F17:F23)</f>
        <v>143.478260869565</v>
      </c>
      <c r="G24" s="174" t="n">
        <f aca="false">SUM(G17:G23)</f>
        <v>0</v>
      </c>
      <c r="H24" s="174" t="n">
        <f aca="false">SUM(H17:H23)</f>
        <v>0</v>
      </c>
      <c r="I24" s="174" t="n">
        <f aca="false">SUM(I17:I23)</f>
        <v>0</v>
      </c>
      <c r="J24" s="174" t="n">
        <f aca="false">SUM(J17:J23)</f>
        <v>0</v>
      </c>
      <c r="K24" s="174" t="n">
        <f aca="false">SUM(K17:K23)</f>
        <v>63.582842724979</v>
      </c>
      <c r="L24" s="174" t="n">
        <f aca="false">SUM(L17:L23)</f>
        <v>122.625463118895</v>
      </c>
      <c r="M24" s="174" t="n">
        <f aca="false">SUM(M17:M23)</f>
        <v>0</v>
      </c>
      <c r="N24" s="174" t="n">
        <f aca="false">SUM(N17:N23)</f>
        <v>0</v>
      </c>
      <c r="O24" s="174" t="n">
        <f aca="false">SUM(O17:O23)</f>
        <v>48.7093180937621</v>
      </c>
      <c r="P24" s="174" t="n">
        <f aca="false">SUM(P17:P23)</f>
        <v>38.7022550111359</v>
      </c>
      <c r="Q24" s="174" t="n">
        <f aca="false">SUM(Q17:Q23)</f>
        <v>32.996646884273</v>
      </c>
      <c r="R24" s="174" t="n">
        <f aca="false">SUM(R17:R23)</f>
        <v>224.442610208817</v>
      </c>
      <c r="S24" s="174" t="n">
        <f aca="false">SUM(S17:S23)</f>
        <v>136.216264511723</v>
      </c>
      <c r="T24" s="174" t="n">
        <f aca="false">SUM(T17:T23)</f>
        <v>0</v>
      </c>
      <c r="U24" s="174" t="n">
        <f aca="false">SUM(U17:U23)</f>
        <v>0</v>
      </c>
      <c r="V24" s="174" t="n">
        <f aca="false">SUM(V17:V23)</f>
        <v>68.1438901316132</v>
      </c>
      <c r="W24" s="174" t="n">
        <f aca="false">SUM(W17:W23)</f>
        <v>0</v>
      </c>
      <c r="X24" s="174" t="n">
        <f aca="false">SUM(X17:X23)</f>
        <v>0</v>
      </c>
      <c r="Y24" s="174" t="n">
        <f aca="false">SUM(Y17:Y23)</f>
        <v>1113.29113873341</v>
      </c>
      <c r="Z24" s="174" t="n">
        <f aca="false">SUM(Z17:Z23)</f>
        <v>1113.29113873341</v>
      </c>
      <c r="AA24" s="174" t="n">
        <f aca="false">SUM(AA17:AA23)</f>
        <v>1113.29113873341</v>
      </c>
      <c r="AB24" s="174" t="n">
        <f aca="false">SUM(AB17:AB23)</f>
        <v>1113.29113873341</v>
      </c>
      <c r="AC24" s="174" t="n">
        <f aca="false">SUM(AC17:AC23)</f>
        <v>1113.29113873341</v>
      </c>
      <c r="AD24" s="174" t="n">
        <f aca="false">SUM(AD17:AD23)</f>
        <v>1113.29113873341</v>
      </c>
      <c r="AE24" s="174" t="n">
        <f aca="false">SUM(AE17:AE23)</f>
        <v>1113.29113873341</v>
      </c>
      <c r="AF24" s="174" t="n">
        <f aca="false">SUM(AF17:AF23)</f>
        <v>1113.29113873341</v>
      </c>
      <c r="AG24" s="174" t="n">
        <f aca="false">SUM(AG17:AG23)</f>
        <v>1113.29113873341</v>
      </c>
      <c r="AH24" s="174" t="n">
        <f aca="false">SUM(AH17:AH23)</f>
        <v>1113.29113873341</v>
      </c>
      <c r="AI24" s="174" t="n">
        <f aca="false">SUM(AI17:AI23)</f>
        <v>0</v>
      </c>
      <c r="AJ24" s="174" t="n">
        <f aca="false">SUM(AJ17:AJ23)</f>
        <v>0</v>
      </c>
      <c r="AK24" s="174" t="n">
        <f aca="false">SUM(AK17:AK23)</f>
        <v>0</v>
      </c>
      <c r="AL24" s="174" t="n">
        <f aca="false">SUM(AL17:AL23)</f>
        <v>0</v>
      </c>
      <c r="AM24" s="174" t="n">
        <f aca="false">SUM(AM17:AM23)</f>
        <v>0</v>
      </c>
      <c r="AN24" s="174" t="n">
        <f aca="false">SUM(AN17:AN23)</f>
        <v>0</v>
      </c>
      <c r="AO24" s="84"/>
      <c r="AP24" s="482" t="n">
        <f aca="false">SUM(E24:AO24)</f>
        <v>12011.8089388889</v>
      </c>
      <c r="AQ24" s="648" t="n">
        <f aca="false">AQ23+1</f>
        <v>18</v>
      </c>
      <c r="AR24" s="635"/>
      <c r="AS24" s="635"/>
      <c r="AT24" s="635"/>
      <c r="AU24" s="635"/>
      <c r="AV24" s="635"/>
      <c r="AW24" s="635"/>
      <c r="AX24" s="635"/>
      <c r="AY24" s="635"/>
      <c r="AZ24" s="635"/>
      <c r="BA24" s="635"/>
      <c r="BB24" s="635"/>
      <c r="BC24" s="635"/>
      <c r="BD24" s="635"/>
      <c r="BE24" s="635"/>
      <c r="BF24" s="635"/>
      <c r="BG24" s="635"/>
      <c r="BH24" s="635"/>
      <c r="BI24" s="635"/>
      <c r="BJ24" s="635"/>
      <c r="BK24" s="635"/>
      <c r="BL24" s="635"/>
      <c r="BM24" s="635"/>
      <c r="BN24" s="635"/>
      <c r="BO24" s="635"/>
      <c r="BP24" s="635"/>
      <c r="BQ24" s="635"/>
      <c r="BR24" s="635"/>
      <c r="BS24" s="635"/>
      <c r="BT24" s="635"/>
      <c r="BU24" s="635"/>
      <c r="BV24" s="635"/>
      <c r="BW24" s="635"/>
      <c r="BX24" s="635"/>
      <c r="BY24" s="635"/>
      <c r="BZ24" s="635"/>
      <c r="CA24" s="635"/>
      <c r="CB24" s="635"/>
      <c r="CC24" s="635"/>
      <c r="CD24" s="635"/>
      <c r="CE24" s="635"/>
      <c r="CF24" s="635"/>
      <c r="CG24" s="635"/>
      <c r="CH24" s="635"/>
      <c r="CI24" s="635"/>
      <c r="CJ24" s="635"/>
      <c r="CK24" s="635"/>
      <c r="CL24" s="635"/>
      <c r="CM24" s="635"/>
      <c r="CN24" s="635"/>
      <c r="CO24" s="635"/>
      <c r="CP24" s="635"/>
      <c r="CQ24" s="635"/>
      <c r="CR24" s="635"/>
      <c r="CS24" s="635"/>
      <c r="CT24" s="635"/>
      <c r="CU24" s="635"/>
      <c r="CV24" s="635"/>
      <c r="CW24" s="635"/>
      <c r="CX24" s="635"/>
      <c r="CY24" s="635"/>
      <c r="CZ24" s="635"/>
      <c r="DA24" s="635"/>
      <c r="DB24" s="635"/>
      <c r="DC24" s="635"/>
      <c r="DD24" s="635"/>
      <c r="DE24" s="635"/>
      <c r="DF24" s="635"/>
      <c r="DG24" s="635"/>
      <c r="DH24" s="635"/>
      <c r="DI24" s="635"/>
      <c r="DJ24" s="635"/>
      <c r="DK24" s="635"/>
      <c r="DL24" s="635"/>
      <c r="DM24" s="635"/>
      <c r="DN24" s="635"/>
      <c r="DO24" s="635"/>
      <c r="DP24" s="635"/>
      <c r="DQ24" s="635"/>
      <c r="DR24" s="635"/>
      <c r="DS24" s="635"/>
      <c r="DT24" s="635"/>
      <c r="DU24" s="635"/>
      <c r="DV24" s="635"/>
      <c r="DW24" s="635"/>
      <c r="DX24" s="635"/>
      <c r="DY24" s="635"/>
      <c r="DZ24" s="635"/>
      <c r="EA24" s="635"/>
      <c r="EB24" s="635"/>
      <c r="EC24" s="635"/>
      <c r="ED24" s="635"/>
      <c r="EE24" s="635"/>
      <c r="EF24" s="635"/>
      <c r="EG24" s="635"/>
      <c r="EH24" s="635"/>
      <c r="EI24" s="635"/>
      <c r="EJ24" s="635"/>
      <c r="EK24" s="635"/>
      <c r="EL24" s="635"/>
      <c r="EM24" s="635"/>
      <c r="EN24" s="635"/>
      <c r="EO24" s="635"/>
      <c r="EP24" s="635"/>
      <c r="EQ24" s="635"/>
      <c r="ER24" s="635"/>
      <c r="ES24" s="635"/>
      <c r="ET24" s="635"/>
      <c r="EU24" s="635"/>
      <c r="EV24" s="635"/>
      <c r="EW24" s="635"/>
      <c r="EX24" s="635"/>
      <c r="EY24" s="635"/>
      <c r="EZ24" s="635"/>
      <c r="FA24" s="635"/>
      <c r="FB24" s="635"/>
      <c r="FC24" s="635"/>
      <c r="FD24" s="635"/>
      <c r="FE24" s="635"/>
      <c r="FF24" s="635"/>
      <c r="FG24" s="635"/>
      <c r="FH24" s="635"/>
      <c r="FI24" s="635"/>
      <c r="FJ24" s="635"/>
      <c r="FK24" s="635"/>
      <c r="FL24" s="635"/>
      <c r="FM24" s="635"/>
      <c r="FN24" s="635"/>
      <c r="FO24" s="635"/>
      <c r="FP24" s="635"/>
      <c r="FQ24" s="635"/>
      <c r="FR24" s="635"/>
      <c r="FS24" s="635"/>
      <c r="FT24" s="635"/>
      <c r="FU24" s="635"/>
      <c r="FV24" s="635"/>
      <c r="FW24" s="635"/>
      <c r="FX24" s="635"/>
      <c r="FY24" s="635"/>
      <c r="FZ24" s="635"/>
      <c r="GA24" s="635"/>
      <c r="GB24" s="635"/>
      <c r="GC24" s="635"/>
      <c r="GD24" s="635"/>
      <c r="GE24" s="635"/>
      <c r="GF24" s="635"/>
      <c r="GG24" s="635"/>
      <c r="GH24" s="635"/>
      <c r="GI24" s="635"/>
      <c r="GJ24" s="635"/>
      <c r="GK24" s="635"/>
      <c r="GL24" s="635"/>
      <c r="GM24" s="635"/>
      <c r="GN24" s="635"/>
      <c r="GO24" s="635"/>
      <c r="GP24" s="635"/>
      <c r="GQ24" s="635"/>
      <c r="GR24" s="635"/>
      <c r="GS24" s="635"/>
      <c r="GT24" s="635"/>
      <c r="GU24" s="635"/>
      <c r="GV24" s="635"/>
      <c r="GW24" s="635"/>
      <c r="GX24" s="635"/>
      <c r="GY24" s="635"/>
      <c r="GZ24" s="635"/>
      <c r="HA24" s="635"/>
      <c r="HB24" s="635"/>
      <c r="HC24" s="635"/>
      <c r="HD24" s="635"/>
      <c r="HE24" s="635"/>
      <c r="HF24" s="635"/>
      <c r="HG24" s="635"/>
      <c r="HH24" s="635"/>
      <c r="HI24" s="635"/>
      <c r="HJ24" s="635"/>
      <c r="HK24" s="635"/>
      <c r="HL24" s="635"/>
      <c r="HM24" s="635"/>
      <c r="HN24" s="635"/>
      <c r="HO24" s="635"/>
      <c r="HP24" s="635"/>
      <c r="HQ24" s="635"/>
      <c r="HR24" s="635"/>
      <c r="HS24" s="635"/>
      <c r="HT24" s="635"/>
      <c r="HU24" s="635"/>
      <c r="HV24" s="635"/>
      <c r="HW24" s="635"/>
      <c r="HX24" s="635"/>
      <c r="HY24" s="635"/>
      <c r="HZ24" s="635"/>
      <c r="IA24" s="635"/>
      <c r="IB24" s="635"/>
      <c r="IC24" s="635"/>
      <c r="ID24" s="635"/>
      <c r="IE24" s="635"/>
      <c r="IF24" s="635"/>
      <c r="IG24" s="635"/>
      <c r="IH24" s="635"/>
      <c r="II24" s="635"/>
      <c r="IJ24" s="635"/>
      <c r="IK24" s="635"/>
      <c r="IL24" s="635"/>
      <c r="IM24" s="635"/>
      <c r="IN24" s="635"/>
      <c r="IO24" s="635"/>
      <c r="IP24" s="635"/>
      <c r="IQ24" s="635"/>
      <c r="IR24" s="635"/>
      <c r="IS24" s="635"/>
      <c r="IT24" s="635"/>
      <c r="IU24" s="635"/>
      <c r="IV24" s="635"/>
      <c r="IW24" s="635"/>
    </row>
    <row r="25" customFormat="false" ht="12.75" hidden="false" customHeight="false" outlineLevel="0" collapsed="false">
      <c r="A25" s="649"/>
      <c r="B25" s="112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647"/>
      <c r="AQ25" s="648" t="n">
        <f aca="false">AQ24+1</f>
        <v>19</v>
      </c>
      <c r="AR25" s="635"/>
      <c r="AS25" s="635"/>
      <c r="AT25" s="635"/>
      <c r="AU25" s="635"/>
      <c r="AV25" s="635"/>
      <c r="AW25" s="635"/>
      <c r="AX25" s="635"/>
      <c r="AY25" s="635"/>
      <c r="AZ25" s="635"/>
      <c r="BA25" s="635"/>
      <c r="BB25" s="635"/>
      <c r="BC25" s="635"/>
      <c r="BD25" s="635"/>
      <c r="BE25" s="635"/>
      <c r="BF25" s="635"/>
      <c r="BG25" s="635"/>
      <c r="BH25" s="635"/>
      <c r="BI25" s="635"/>
      <c r="BJ25" s="635"/>
      <c r="BK25" s="635"/>
      <c r="BL25" s="635"/>
      <c r="BM25" s="635"/>
      <c r="BN25" s="635"/>
      <c r="BO25" s="635"/>
      <c r="BP25" s="635"/>
      <c r="BQ25" s="635"/>
      <c r="BR25" s="635"/>
      <c r="BS25" s="635"/>
      <c r="BT25" s="635"/>
      <c r="BU25" s="635"/>
      <c r="BV25" s="635"/>
      <c r="BW25" s="635"/>
      <c r="BX25" s="635"/>
      <c r="BY25" s="635"/>
      <c r="BZ25" s="635"/>
      <c r="CA25" s="635"/>
      <c r="CB25" s="635"/>
      <c r="CC25" s="635"/>
      <c r="CD25" s="635"/>
      <c r="CE25" s="635"/>
      <c r="CF25" s="635"/>
      <c r="CG25" s="635"/>
      <c r="CH25" s="635"/>
      <c r="CI25" s="635"/>
      <c r="CJ25" s="635"/>
      <c r="CK25" s="635"/>
      <c r="CL25" s="635"/>
      <c r="CM25" s="635"/>
      <c r="CN25" s="635"/>
      <c r="CO25" s="635"/>
      <c r="CP25" s="635"/>
      <c r="CQ25" s="635"/>
      <c r="CR25" s="635"/>
      <c r="CS25" s="635"/>
      <c r="CT25" s="635"/>
      <c r="CU25" s="635"/>
      <c r="CV25" s="635"/>
      <c r="CW25" s="635"/>
      <c r="CX25" s="635"/>
      <c r="CY25" s="635"/>
      <c r="CZ25" s="635"/>
      <c r="DA25" s="635"/>
      <c r="DB25" s="635"/>
      <c r="DC25" s="635"/>
      <c r="DD25" s="635"/>
      <c r="DE25" s="635"/>
      <c r="DF25" s="635"/>
      <c r="DG25" s="635"/>
      <c r="DH25" s="635"/>
      <c r="DI25" s="635"/>
      <c r="DJ25" s="635"/>
      <c r="DK25" s="635"/>
      <c r="DL25" s="635"/>
      <c r="DM25" s="635"/>
      <c r="DN25" s="635"/>
      <c r="DO25" s="635"/>
      <c r="DP25" s="635"/>
      <c r="DQ25" s="635"/>
      <c r="DR25" s="635"/>
      <c r="DS25" s="635"/>
      <c r="DT25" s="635"/>
      <c r="DU25" s="635"/>
      <c r="DV25" s="635"/>
      <c r="DW25" s="635"/>
      <c r="DX25" s="635"/>
      <c r="DY25" s="635"/>
      <c r="DZ25" s="635"/>
      <c r="EA25" s="635"/>
      <c r="EB25" s="635"/>
      <c r="EC25" s="635"/>
      <c r="ED25" s="635"/>
      <c r="EE25" s="635"/>
      <c r="EF25" s="635"/>
      <c r="EG25" s="635"/>
      <c r="EH25" s="635"/>
      <c r="EI25" s="635"/>
      <c r="EJ25" s="635"/>
      <c r="EK25" s="635"/>
      <c r="EL25" s="635"/>
      <c r="EM25" s="635"/>
      <c r="EN25" s="635"/>
      <c r="EO25" s="635"/>
      <c r="EP25" s="635"/>
      <c r="EQ25" s="635"/>
      <c r="ER25" s="635"/>
      <c r="ES25" s="635"/>
      <c r="ET25" s="635"/>
      <c r="EU25" s="635"/>
      <c r="EV25" s="635"/>
      <c r="EW25" s="635"/>
      <c r="EX25" s="635"/>
      <c r="EY25" s="635"/>
      <c r="EZ25" s="635"/>
      <c r="FA25" s="635"/>
      <c r="FB25" s="635"/>
      <c r="FC25" s="635"/>
      <c r="FD25" s="635"/>
      <c r="FE25" s="635"/>
      <c r="FF25" s="635"/>
      <c r="FG25" s="635"/>
      <c r="FH25" s="635"/>
      <c r="FI25" s="635"/>
      <c r="FJ25" s="635"/>
      <c r="FK25" s="635"/>
      <c r="FL25" s="635"/>
      <c r="FM25" s="635"/>
      <c r="FN25" s="635"/>
      <c r="FO25" s="635"/>
      <c r="FP25" s="635"/>
      <c r="FQ25" s="635"/>
      <c r="FR25" s="635"/>
      <c r="FS25" s="635"/>
      <c r="FT25" s="635"/>
      <c r="FU25" s="635"/>
      <c r="FV25" s="635"/>
      <c r="FW25" s="635"/>
      <c r="FX25" s="635"/>
      <c r="FY25" s="635"/>
      <c r="FZ25" s="635"/>
      <c r="GA25" s="635"/>
      <c r="GB25" s="635"/>
      <c r="GC25" s="635"/>
      <c r="GD25" s="635"/>
      <c r="GE25" s="635"/>
      <c r="GF25" s="635"/>
      <c r="GG25" s="635"/>
      <c r="GH25" s="635"/>
      <c r="GI25" s="635"/>
      <c r="GJ25" s="635"/>
      <c r="GK25" s="635"/>
      <c r="GL25" s="635"/>
      <c r="GM25" s="635"/>
      <c r="GN25" s="635"/>
      <c r="GO25" s="635"/>
      <c r="GP25" s="635"/>
      <c r="GQ25" s="635"/>
      <c r="GR25" s="635"/>
      <c r="GS25" s="635"/>
      <c r="GT25" s="635"/>
      <c r="GU25" s="635"/>
      <c r="GV25" s="635"/>
      <c r="GW25" s="635"/>
      <c r="GX25" s="635"/>
      <c r="GY25" s="635"/>
      <c r="GZ25" s="635"/>
      <c r="HA25" s="635"/>
      <c r="HB25" s="635"/>
      <c r="HC25" s="635"/>
      <c r="HD25" s="635"/>
      <c r="HE25" s="635"/>
      <c r="HF25" s="635"/>
      <c r="HG25" s="635"/>
      <c r="HH25" s="635"/>
      <c r="HI25" s="635"/>
      <c r="HJ25" s="635"/>
      <c r="HK25" s="635"/>
      <c r="HL25" s="635"/>
      <c r="HM25" s="635"/>
      <c r="HN25" s="635"/>
      <c r="HO25" s="635"/>
      <c r="HP25" s="635"/>
      <c r="HQ25" s="635"/>
      <c r="HR25" s="635"/>
      <c r="HS25" s="635"/>
      <c r="HT25" s="635"/>
      <c r="HU25" s="635"/>
      <c r="HV25" s="635"/>
      <c r="HW25" s="635"/>
      <c r="HX25" s="635"/>
      <c r="HY25" s="635"/>
      <c r="HZ25" s="635"/>
      <c r="IA25" s="635"/>
      <c r="IB25" s="635"/>
      <c r="IC25" s="635"/>
      <c r="ID25" s="635"/>
      <c r="IE25" s="635"/>
      <c r="IF25" s="635"/>
      <c r="IG25" s="635"/>
      <c r="IH25" s="635"/>
      <c r="II25" s="635"/>
      <c r="IJ25" s="635"/>
      <c r="IK25" s="635"/>
      <c r="IL25" s="635"/>
      <c r="IM25" s="635"/>
      <c r="IN25" s="635"/>
      <c r="IO25" s="635"/>
      <c r="IP25" s="635"/>
      <c r="IQ25" s="635"/>
      <c r="IR25" s="635"/>
      <c r="IS25" s="635"/>
      <c r="IT25" s="635"/>
      <c r="IU25" s="635"/>
      <c r="IV25" s="635"/>
      <c r="IW25" s="635"/>
    </row>
    <row r="26" customFormat="false" ht="12.75" hidden="false" customHeight="false" outlineLevel="0" collapsed="false">
      <c r="A26" s="649" t="str">
        <f aca="false">Assm!N27</f>
        <v>Upfront Fee</v>
      </c>
      <c r="B26" s="112"/>
      <c r="C26" s="174" t="n">
        <f aca="false">Assm!R27</f>
        <v>1139.02204179323</v>
      </c>
      <c r="D26" s="84"/>
      <c r="E26" s="174" t="n">
        <f aca="false">IF(E$7=Fin_Close,$C26,0)</f>
        <v>0</v>
      </c>
      <c r="F26" s="174" t="n">
        <f aca="false">IF(F$7=Fin_Close,$C26,0)</f>
        <v>0</v>
      </c>
      <c r="G26" s="174" t="n">
        <f aca="false">IF(G$7=Fin_Close,$C26,0)</f>
        <v>0</v>
      </c>
      <c r="H26" s="174" t="n">
        <f aca="false">IF(H$7=Fin_Close,$C26,0)</f>
        <v>0</v>
      </c>
      <c r="I26" s="174" t="n">
        <f aca="false">IF(I$7=Fin_Close,$C26,0)</f>
        <v>0</v>
      </c>
      <c r="J26" s="174" t="n">
        <f aca="false">IF(J$7=Fin_Close,$C26,0)</f>
        <v>0</v>
      </c>
      <c r="K26" s="174" t="n">
        <f aca="false">IF(K$7=Fin_Close,$C26,0)</f>
        <v>0</v>
      </c>
      <c r="L26" s="174" t="n">
        <f aca="false">IF(L$7=Fin_Close,$C26,0)</f>
        <v>0</v>
      </c>
      <c r="M26" s="174" t="n">
        <f aca="false">IF(M$7=Fin_Close,$C26,0)</f>
        <v>0</v>
      </c>
      <c r="N26" s="174" t="n">
        <f aca="false">IF(N$7=Fin_Close,$C26,0)</f>
        <v>0</v>
      </c>
      <c r="O26" s="174" t="n">
        <f aca="false">IF(O$7=Fin_Close,$C26,0)</f>
        <v>0</v>
      </c>
      <c r="P26" s="174" t="n">
        <f aca="false">IF(P$7=Fin_Close,$C26,0)</f>
        <v>0</v>
      </c>
      <c r="Q26" s="174" t="n">
        <f aca="false">IF(Q$7=Fin_Close,$C26,0)</f>
        <v>0</v>
      </c>
      <c r="R26" s="174" t="n">
        <f aca="false">IF(R$7=Fin_Close,$C26,0)</f>
        <v>0</v>
      </c>
      <c r="S26" s="174" t="n">
        <f aca="false">IF(S$7=Fin_Close,$C26,0)</f>
        <v>0</v>
      </c>
      <c r="T26" s="174" t="n">
        <f aca="false">IF(T$7=Fin_Close,$C26,0)</f>
        <v>0</v>
      </c>
      <c r="U26" s="174" t="n">
        <f aca="false">IF(U$7=Fin_Close,$C26,0)</f>
        <v>0</v>
      </c>
      <c r="V26" s="174" t="n">
        <f aca="false">IF(V$7=Fin_Close,$C26,0)</f>
        <v>0</v>
      </c>
      <c r="W26" s="174" t="n">
        <f aca="false">IF(W$7=Fin_Close,$C26,0)</f>
        <v>0</v>
      </c>
      <c r="X26" s="174" t="n">
        <f aca="false">IF(X$7=Fin_Close,$C26,0)</f>
        <v>0</v>
      </c>
      <c r="Y26" s="174" t="n">
        <f aca="false">IF(Y$7=Fin_Close,$C26,0)</f>
        <v>0</v>
      </c>
      <c r="Z26" s="174" t="n">
        <f aca="false">IF(Z$7=Fin_Close,$C26,0)</f>
        <v>0</v>
      </c>
      <c r="AA26" s="174" t="n">
        <f aca="false">IF(AA$7=Fin_Close,$C26,0)</f>
        <v>0</v>
      </c>
      <c r="AB26" s="174" t="n">
        <f aca="false">IF(AB$7=Fin_Close,$C26,0)</f>
        <v>0</v>
      </c>
      <c r="AC26" s="174" t="n">
        <f aca="false">IF(AC$7=Fin_Close,$C26,0)</f>
        <v>0</v>
      </c>
      <c r="AD26" s="174" t="n">
        <f aca="false">IF(AD$7=Fin_Close,$C26,0)</f>
        <v>0</v>
      </c>
      <c r="AE26" s="174" t="n">
        <f aca="false">IF(AE$7=Fin_Close,$C26,0)</f>
        <v>0</v>
      </c>
      <c r="AF26" s="174" t="n">
        <f aca="false">IF(AF$7=Fin_Close,$C26,0)</f>
        <v>0</v>
      </c>
      <c r="AG26" s="174" t="n">
        <f aca="false">IF(AG$7=Fin_Close,$C26,0)</f>
        <v>0</v>
      </c>
      <c r="AH26" s="174" t="n">
        <f aca="false">IF(AH$7=Fin_Close,$C26,0)</f>
        <v>1139.02204179323</v>
      </c>
      <c r="AI26" s="174" t="n">
        <f aca="false">IF(AI$7=Fin_Close,$C26,0)</f>
        <v>0</v>
      </c>
      <c r="AJ26" s="174" t="n">
        <f aca="false">IF(AJ$7=Fin_Close,$C26,0)</f>
        <v>0</v>
      </c>
      <c r="AK26" s="174" t="n">
        <f aca="false">IF(AK$7=Fin_Close,$C26,0)</f>
        <v>0</v>
      </c>
      <c r="AL26" s="174" t="n">
        <f aca="false">IF(AL$7=Fin_Close,$C26,0)</f>
        <v>0</v>
      </c>
      <c r="AM26" s="174" t="n">
        <f aca="false">IF(AM$7=Fin_Close,$C26,0)</f>
        <v>0</v>
      </c>
      <c r="AN26" s="174" t="n">
        <f aca="false">IF(AN$7=Fin_Close,$C26,0)</f>
        <v>0</v>
      </c>
      <c r="AO26" s="84"/>
      <c r="AP26" s="482" t="n">
        <f aca="false">SUM(E26:AO26)</f>
        <v>1139.02204179323</v>
      </c>
      <c r="AQ26" s="648" t="n">
        <f aca="false">AQ25+1</f>
        <v>20</v>
      </c>
      <c r="AR26" s="635"/>
      <c r="AS26" s="635"/>
      <c r="AT26" s="635"/>
      <c r="AU26" s="635"/>
      <c r="AV26" s="635"/>
      <c r="AW26" s="635"/>
      <c r="AX26" s="635"/>
      <c r="AY26" s="635"/>
      <c r="AZ26" s="635"/>
      <c r="BA26" s="635"/>
      <c r="BB26" s="635"/>
      <c r="BC26" s="635"/>
      <c r="BD26" s="635"/>
      <c r="BE26" s="635"/>
      <c r="BF26" s="635"/>
      <c r="BG26" s="635"/>
      <c r="BH26" s="635"/>
      <c r="BI26" s="635"/>
      <c r="BJ26" s="635"/>
      <c r="BK26" s="635"/>
      <c r="BL26" s="635"/>
      <c r="BM26" s="635"/>
      <c r="BN26" s="635"/>
      <c r="BO26" s="635"/>
      <c r="BP26" s="635"/>
      <c r="BQ26" s="635"/>
      <c r="BR26" s="635"/>
      <c r="BS26" s="635"/>
      <c r="BT26" s="635"/>
      <c r="BU26" s="635"/>
      <c r="BV26" s="635"/>
      <c r="BW26" s="635"/>
      <c r="BX26" s="635"/>
      <c r="BY26" s="635"/>
      <c r="BZ26" s="635"/>
      <c r="CA26" s="635"/>
      <c r="CB26" s="635"/>
      <c r="CC26" s="635"/>
      <c r="CD26" s="635"/>
      <c r="CE26" s="635"/>
      <c r="CF26" s="635"/>
      <c r="CG26" s="635"/>
      <c r="CH26" s="635"/>
      <c r="CI26" s="635"/>
      <c r="CJ26" s="635"/>
      <c r="CK26" s="635"/>
      <c r="CL26" s="635"/>
      <c r="CM26" s="635"/>
      <c r="CN26" s="635"/>
      <c r="CO26" s="635"/>
      <c r="CP26" s="635"/>
      <c r="CQ26" s="635"/>
      <c r="CR26" s="635"/>
      <c r="CS26" s="635"/>
      <c r="CT26" s="635"/>
      <c r="CU26" s="635"/>
      <c r="CV26" s="635"/>
      <c r="CW26" s="635"/>
      <c r="CX26" s="635"/>
      <c r="CY26" s="635"/>
      <c r="CZ26" s="635"/>
      <c r="DA26" s="635"/>
      <c r="DB26" s="635"/>
      <c r="DC26" s="635"/>
      <c r="DD26" s="635"/>
      <c r="DE26" s="635"/>
      <c r="DF26" s="635"/>
      <c r="DG26" s="635"/>
      <c r="DH26" s="635"/>
      <c r="DI26" s="635"/>
      <c r="DJ26" s="635"/>
      <c r="DK26" s="635"/>
      <c r="DL26" s="635"/>
      <c r="DM26" s="635"/>
      <c r="DN26" s="635"/>
      <c r="DO26" s="635"/>
      <c r="DP26" s="635"/>
      <c r="DQ26" s="635"/>
      <c r="DR26" s="635"/>
      <c r="DS26" s="635"/>
      <c r="DT26" s="635"/>
      <c r="DU26" s="635"/>
      <c r="DV26" s="635"/>
      <c r="DW26" s="635"/>
      <c r="DX26" s="635"/>
      <c r="DY26" s="635"/>
      <c r="DZ26" s="635"/>
      <c r="EA26" s="635"/>
      <c r="EB26" s="635"/>
      <c r="EC26" s="635"/>
      <c r="ED26" s="635"/>
      <c r="EE26" s="635"/>
      <c r="EF26" s="635"/>
      <c r="EG26" s="635"/>
      <c r="EH26" s="635"/>
      <c r="EI26" s="635"/>
      <c r="EJ26" s="635"/>
      <c r="EK26" s="635"/>
      <c r="EL26" s="635"/>
      <c r="EM26" s="635"/>
      <c r="EN26" s="635"/>
      <c r="EO26" s="635"/>
      <c r="EP26" s="635"/>
      <c r="EQ26" s="635"/>
      <c r="ER26" s="635"/>
      <c r="ES26" s="635"/>
      <c r="ET26" s="635"/>
      <c r="EU26" s="635"/>
      <c r="EV26" s="635"/>
      <c r="EW26" s="635"/>
      <c r="EX26" s="635"/>
      <c r="EY26" s="635"/>
      <c r="EZ26" s="635"/>
      <c r="FA26" s="635"/>
      <c r="FB26" s="635"/>
      <c r="FC26" s="635"/>
      <c r="FD26" s="635"/>
      <c r="FE26" s="635"/>
      <c r="FF26" s="635"/>
      <c r="FG26" s="635"/>
      <c r="FH26" s="635"/>
      <c r="FI26" s="635"/>
      <c r="FJ26" s="635"/>
      <c r="FK26" s="635"/>
      <c r="FL26" s="635"/>
      <c r="FM26" s="635"/>
      <c r="FN26" s="635"/>
      <c r="FO26" s="635"/>
      <c r="FP26" s="635"/>
      <c r="FQ26" s="635"/>
      <c r="FR26" s="635"/>
      <c r="FS26" s="635"/>
      <c r="FT26" s="635"/>
      <c r="FU26" s="635"/>
      <c r="FV26" s="635"/>
      <c r="FW26" s="635"/>
      <c r="FX26" s="635"/>
      <c r="FY26" s="635"/>
      <c r="FZ26" s="635"/>
      <c r="GA26" s="635"/>
      <c r="GB26" s="635"/>
      <c r="GC26" s="635"/>
      <c r="GD26" s="635"/>
      <c r="GE26" s="635"/>
      <c r="GF26" s="635"/>
      <c r="GG26" s="635"/>
      <c r="GH26" s="635"/>
      <c r="GI26" s="635"/>
      <c r="GJ26" s="635"/>
      <c r="GK26" s="635"/>
      <c r="GL26" s="635"/>
      <c r="GM26" s="635"/>
      <c r="GN26" s="635"/>
      <c r="GO26" s="635"/>
      <c r="GP26" s="635"/>
      <c r="GQ26" s="635"/>
      <c r="GR26" s="635"/>
      <c r="GS26" s="635"/>
      <c r="GT26" s="635"/>
      <c r="GU26" s="635"/>
      <c r="GV26" s="635"/>
      <c r="GW26" s="635"/>
      <c r="GX26" s="635"/>
      <c r="GY26" s="635"/>
      <c r="GZ26" s="635"/>
      <c r="HA26" s="635"/>
      <c r="HB26" s="635"/>
      <c r="HC26" s="635"/>
      <c r="HD26" s="635"/>
      <c r="HE26" s="635"/>
      <c r="HF26" s="635"/>
      <c r="HG26" s="635"/>
      <c r="HH26" s="635"/>
      <c r="HI26" s="635"/>
      <c r="HJ26" s="635"/>
      <c r="HK26" s="635"/>
      <c r="HL26" s="635"/>
      <c r="HM26" s="635"/>
      <c r="HN26" s="635"/>
      <c r="HO26" s="635"/>
      <c r="HP26" s="635"/>
      <c r="HQ26" s="635"/>
      <c r="HR26" s="635"/>
      <c r="HS26" s="635"/>
      <c r="HT26" s="635"/>
      <c r="HU26" s="635"/>
      <c r="HV26" s="635"/>
      <c r="HW26" s="635"/>
      <c r="HX26" s="635"/>
      <c r="HY26" s="635"/>
      <c r="HZ26" s="635"/>
      <c r="IA26" s="635"/>
      <c r="IB26" s="635"/>
      <c r="IC26" s="635"/>
      <c r="ID26" s="635"/>
      <c r="IE26" s="635"/>
      <c r="IF26" s="635"/>
      <c r="IG26" s="635"/>
      <c r="IH26" s="635"/>
      <c r="II26" s="635"/>
      <c r="IJ26" s="635"/>
      <c r="IK26" s="635"/>
      <c r="IL26" s="635"/>
      <c r="IM26" s="635"/>
      <c r="IN26" s="635"/>
      <c r="IO26" s="635"/>
      <c r="IP26" s="635"/>
      <c r="IQ26" s="635"/>
      <c r="IR26" s="635"/>
      <c r="IS26" s="635"/>
      <c r="IT26" s="635"/>
      <c r="IU26" s="635"/>
      <c r="IV26" s="635"/>
      <c r="IW26" s="635"/>
    </row>
    <row r="27" customFormat="false" ht="12.75" hidden="false" customHeight="false" outlineLevel="0" collapsed="false">
      <c r="A27" s="649" t="str">
        <f aca="false">Assm!N28</f>
        <v>Financing Costs (Borrower And Lender)</v>
      </c>
      <c r="B27" s="112"/>
      <c r="C27" s="174" t="n">
        <f aca="false">Assm!R28</f>
        <v>2831.325</v>
      </c>
      <c r="D27" s="84"/>
      <c r="E27" s="156" t="n">
        <v>0</v>
      </c>
      <c r="F27" s="156" t="n">
        <v>0</v>
      </c>
      <c r="G27" s="156" t="n">
        <v>0</v>
      </c>
      <c r="H27" s="156" t="n">
        <v>0</v>
      </c>
      <c r="I27" s="156" t="n">
        <v>0</v>
      </c>
      <c r="J27" s="156" t="n">
        <v>0</v>
      </c>
      <c r="K27" s="156" t="n">
        <v>0</v>
      </c>
      <c r="L27" s="156" t="n">
        <v>0</v>
      </c>
      <c r="M27" s="156" t="n">
        <v>0</v>
      </c>
      <c r="N27" s="156" t="n">
        <v>0</v>
      </c>
      <c r="O27" s="156" t="n">
        <v>0</v>
      </c>
      <c r="P27" s="156" t="n">
        <v>0</v>
      </c>
      <c r="Q27" s="156" t="n">
        <v>0</v>
      </c>
      <c r="R27" s="156" t="n">
        <v>0</v>
      </c>
      <c r="S27" s="156" t="n">
        <v>0</v>
      </c>
      <c r="T27" s="156" t="n">
        <v>0</v>
      </c>
      <c r="U27" s="156" t="n">
        <v>0</v>
      </c>
      <c r="V27" s="156" t="n">
        <v>0</v>
      </c>
      <c r="W27" s="156" t="n">
        <v>0</v>
      </c>
      <c r="X27" s="156" t="n">
        <v>0</v>
      </c>
      <c r="Y27" s="156" t="n">
        <v>0</v>
      </c>
      <c r="Z27" s="156" t="n">
        <v>0</v>
      </c>
      <c r="AA27" s="156" t="n">
        <v>0</v>
      </c>
      <c r="AB27" s="156" t="n">
        <v>0</v>
      </c>
      <c r="AC27" s="156" t="n">
        <v>0</v>
      </c>
      <c r="AD27" s="156" t="n">
        <v>0</v>
      </c>
      <c r="AE27" s="156" t="n">
        <v>0</v>
      </c>
      <c r="AF27" s="650" t="n">
        <f aca="false">$C27</f>
        <v>2831.325</v>
      </c>
      <c r="AG27" s="156" t="n">
        <v>0</v>
      </c>
      <c r="AH27" s="156" t="n">
        <v>0</v>
      </c>
      <c r="AI27" s="156" t="n">
        <v>0</v>
      </c>
      <c r="AJ27" s="156" t="n">
        <v>0</v>
      </c>
      <c r="AK27" s="156" t="n">
        <v>0</v>
      </c>
      <c r="AL27" s="156" t="n">
        <v>0</v>
      </c>
      <c r="AM27" s="156" t="n">
        <v>0</v>
      </c>
      <c r="AN27" s="156" t="n">
        <v>0</v>
      </c>
      <c r="AO27" s="84"/>
      <c r="AP27" s="482" t="n">
        <f aca="false">SUM(E27:AO27)</f>
        <v>2831.325</v>
      </c>
      <c r="AQ27" s="648" t="n">
        <f aca="false">AQ26+1</f>
        <v>21</v>
      </c>
      <c r="AR27" s="635"/>
      <c r="AS27" s="635"/>
      <c r="AT27" s="635"/>
      <c r="AU27" s="635"/>
      <c r="AV27" s="635"/>
      <c r="AW27" s="635"/>
      <c r="AX27" s="635"/>
      <c r="AY27" s="635"/>
      <c r="AZ27" s="635"/>
      <c r="BA27" s="635"/>
      <c r="BB27" s="635"/>
      <c r="BC27" s="635"/>
      <c r="BD27" s="635"/>
      <c r="BE27" s="635"/>
      <c r="BF27" s="635"/>
      <c r="BG27" s="635"/>
      <c r="BH27" s="635"/>
      <c r="BI27" s="635"/>
      <c r="BJ27" s="635"/>
      <c r="BK27" s="635"/>
      <c r="BL27" s="635"/>
      <c r="BM27" s="635"/>
      <c r="BN27" s="635"/>
      <c r="BO27" s="635"/>
      <c r="BP27" s="635"/>
      <c r="BQ27" s="635"/>
      <c r="BR27" s="635"/>
      <c r="BS27" s="635"/>
      <c r="BT27" s="635"/>
      <c r="BU27" s="635"/>
      <c r="BV27" s="635"/>
      <c r="BW27" s="635"/>
      <c r="BX27" s="635"/>
      <c r="BY27" s="635"/>
      <c r="BZ27" s="635"/>
      <c r="CA27" s="635"/>
      <c r="CB27" s="635"/>
      <c r="CC27" s="635"/>
      <c r="CD27" s="635"/>
      <c r="CE27" s="635"/>
      <c r="CF27" s="635"/>
      <c r="CG27" s="635"/>
      <c r="CH27" s="635"/>
      <c r="CI27" s="635"/>
      <c r="CJ27" s="635"/>
      <c r="CK27" s="635"/>
      <c r="CL27" s="635"/>
      <c r="CM27" s="635"/>
      <c r="CN27" s="635"/>
      <c r="CO27" s="635"/>
      <c r="CP27" s="635"/>
      <c r="CQ27" s="635"/>
      <c r="CR27" s="635"/>
      <c r="CS27" s="635"/>
      <c r="CT27" s="635"/>
      <c r="CU27" s="635"/>
      <c r="CV27" s="635"/>
      <c r="CW27" s="635"/>
      <c r="CX27" s="635"/>
      <c r="CY27" s="635"/>
      <c r="CZ27" s="635"/>
      <c r="DA27" s="635"/>
      <c r="DB27" s="635"/>
      <c r="DC27" s="635"/>
      <c r="DD27" s="635"/>
      <c r="DE27" s="635"/>
      <c r="DF27" s="635"/>
      <c r="DG27" s="635"/>
      <c r="DH27" s="635"/>
      <c r="DI27" s="635"/>
      <c r="DJ27" s="635"/>
      <c r="DK27" s="635"/>
      <c r="DL27" s="635"/>
      <c r="DM27" s="635"/>
      <c r="DN27" s="635"/>
      <c r="DO27" s="635"/>
      <c r="DP27" s="635"/>
      <c r="DQ27" s="635"/>
      <c r="DR27" s="635"/>
      <c r="DS27" s="635"/>
      <c r="DT27" s="635"/>
      <c r="DU27" s="635"/>
      <c r="DV27" s="635"/>
      <c r="DW27" s="635"/>
      <c r="DX27" s="635"/>
      <c r="DY27" s="635"/>
      <c r="DZ27" s="635"/>
      <c r="EA27" s="635"/>
      <c r="EB27" s="635"/>
      <c r="EC27" s="635"/>
      <c r="ED27" s="635"/>
      <c r="EE27" s="635"/>
      <c r="EF27" s="635"/>
      <c r="EG27" s="635"/>
      <c r="EH27" s="635"/>
      <c r="EI27" s="635"/>
      <c r="EJ27" s="635"/>
      <c r="EK27" s="635"/>
      <c r="EL27" s="635"/>
      <c r="EM27" s="635"/>
      <c r="EN27" s="635"/>
      <c r="EO27" s="635"/>
      <c r="EP27" s="635"/>
      <c r="EQ27" s="635"/>
      <c r="ER27" s="635"/>
      <c r="ES27" s="635"/>
      <c r="ET27" s="635"/>
      <c r="EU27" s="635"/>
      <c r="EV27" s="635"/>
      <c r="EW27" s="635"/>
      <c r="EX27" s="635"/>
      <c r="EY27" s="635"/>
      <c r="EZ27" s="635"/>
      <c r="FA27" s="635"/>
      <c r="FB27" s="635"/>
      <c r="FC27" s="635"/>
      <c r="FD27" s="635"/>
      <c r="FE27" s="635"/>
      <c r="FF27" s="635"/>
      <c r="FG27" s="635"/>
      <c r="FH27" s="635"/>
      <c r="FI27" s="635"/>
      <c r="FJ27" s="635"/>
      <c r="FK27" s="635"/>
      <c r="FL27" s="635"/>
      <c r="FM27" s="635"/>
      <c r="FN27" s="635"/>
      <c r="FO27" s="635"/>
      <c r="FP27" s="635"/>
      <c r="FQ27" s="635"/>
      <c r="FR27" s="635"/>
      <c r="FS27" s="635"/>
      <c r="FT27" s="635"/>
      <c r="FU27" s="635"/>
      <c r="FV27" s="635"/>
      <c r="FW27" s="635"/>
      <c r="FX27" s="635"/>
      <c r="FY27" s="635"/>
      <c r="FZ27" s="635"/>
      <c r="GA27" s="635"/>
      <c r="GB27" s="635"/>
      <c r="GC27" s="635"/>
      <c r="GD27" s="635"/>
      <c r="GE27" s="635"/>
      <c r="GF27" s="635"/>
      <c r="GG27" s="635"/>
      <c r="GH27" s="635"/>
      <c r="GI27" s="635"/>
      <c r="GJ27" s="635"/>
      <c r="GK27" s="635"/>
      <c r="GL27" s="635"/>
      <c r="GM27" s="635"/>
      <c r="GN27" s="635"/>
      <c r="GO27" s="635"/>
      <c r="GP27" s="635"/>
      <c r="GQ27" s="635"/>
      <c r="GR27" s="635"/>
      <c r="GS27" s="635"/>
      <c r="GT27" s="635"/>
      <c r="GU27" s="635"/>
      <c r="GV27" s="635"/>
      <c r="GW27" s="635"/>
      <c r="GX27" s="635"/>
      <c r="GY27" s="635"/>
      <c r="GZ27" s="635"/>
      <c r="HA27" s="635"/>
      <c r="HB27" s="635"/>
      <c r="HC27" s="635"/>
      <c r="HD27" s="635"/>
      <c r="HE27" s="635"/>
      <c r="HF27" s="635"/>
      <c r="HG27" s="635"/>
      <c r="HH27" s="635"/>
      <c r="HI27" s="635"/>
      <c r="HJ27" s="635"/>
      <c r="HK27" s="635"/>
      <c r="HL27" s="635"/>
      <c r="HM27" s="635"/>
      <c r="HN27" s="635"/>
      <c r="HO27" s="635"/>
      <c r="HP27" s="635"/>
      <c r="HQ27" s="635"/>
      <c r="HR27" s="635"/>
      <c r="HS27" s="635"/>
      <c r="HT27" s="635"/>
      <c r="HU27" s="635"/>
      <c r="HV27" s="635"/>
      <c r="HW27" s="635"/>
      <c r="HX27" s="635"/>
      <c r="HY27" s="635"/>
      <c r="HZ27" s="635"/>
      <c r="IA27" s="635"/>
      <c r="IB27" s="635"/>
      <c r="IC27" s="635"/>
      <c r="ID27" s="635"/>
      <c r="IE27" s="635"/>
      <c r="IF27" s="635"/>
      <c r="IG27" s="635"/>
      <c r="IH27" s="635"/>
      <c r="II27" s="635"/>
      <c r="IJ27" s="635"/>
      <c r="IK27" s="635"/>
      <c r="IL27" s="635"/>
      <c r="IM27" s="635"/>
      <c r="IN27" s="635"/>
      <c r="IO27" s="635"/>
      <c r="IP27" s="635"/>
      <c r="IQ27" s="635"/>
      <c r="IR27" s="635"/>
      <c r="IS27" s="635"/>
      <c r="IT27" s="635"/>
      <c r="IU27" s="635"/>
      <c r="IV27" s="635"/>
      <c r="IW27" s="635"/>
    </row>
    <row r="28" customFormat="false" ht="12.75" hidden="false" customHeight="false" outlineLevel="0" collapsed="false">
      <c r="A28" s="649" t="str">
        <f aca="false">Assm!N29</f>
        <v>Financing Costs (Other)</v>
      </c>
      <c r="B28" s="112"/>
      <c r="C28" s="174" t="n">
        <f aca="false">Assm!R29</f>
        <v>0</v>
      </c>
      <c r="D28" s="84"/>
      <c r="E28" s="156" t="n">
        <v>0</v>
      </c>
      <c r="F28" s="156" t="n">
        <v>0</v>
      </c>
      <c r="G28" s="156" t="n">
        <v>0</v>
      </c>
      <c r="H28" s="156" t="n">
        <v>0</v>
      </c>
      <c r="I28" s="156" t="n">
        <v>0</v>
      </c>
      <c r="J28" s="156" t="n">
        <v>0</v>
      </c>
      <c r="K28" s="156" t="n">
        <v>0</v>
      </c>
      <c r="L28" s="156" t="n">
        <v>0</v>
      </c>
      <c r="M28" s="156" t="n">
        <v>0</v>
      </c>
      <c r="N28" s="156" t="n">
        <v>0</v>
      </c>
      <c r="O28" s="156" t="n">
        <v>0</v>
      </c>
      <c r="P28" s="156" t="n">
        <v>0</v>
      </c>
      <c r="Q28" s="156" t="n">
        <v>0</v>
      </c>
      <c r="R28" s="156" t="n">
        <v>0</v>
      </c>
      <c r="S28" s="156" t="n">
        <v>0</v>
      </c>
      <c r="T28" s="156" t="n">
        <v>0</v>
      </c>
      <c r="U28" s="156" t="n">
        <v>0</v>
      </c>
      <c r="V28" s="156" t="n">
        <v>0</v>
      </c>
      <c r="W28" s="156" t="n">
        <v>0</v>
      </c>
      <c r="X28" s="156" t="n">
        <v>0</v>
      </c>
      <c r="Y28" s="156" t="n">
        <v>0</v>
      </c>
      <c r="Z28" s="156" t="n">
        <v>0</v>
      </c>
      <c r="AA28" s="156" t="n">
        <v>0</v>
      </c>
      <c r="AB28" s="156" t="n">
        <v>0</v>
      </c>
      <c r="AC28" s="156" t="n">
        <v>0</v>
      </c>
      <c r="AD28" s="156" t="n">
        <v>0</v>
      </c>
      <c r="AE28" s="156" t="n">
        <v>0</v>
      </c>
      <c r="AF28" s="650" t="n">
        <f aca="false">$C28</f>
        <v>0</v>
      </c>
      <c r="AG28" s="156" t="n">
        <v>0</v>
      </c>
      <c r="AH28" s="156" t="n">
        <v>0</v>
      </c>
      <c r="AI28" s="156" t="n">
        <v>0</v>
      </c>
      <c r="AJ28" s="156" t="n">
        <v>0</v>
      </c>
      <c r="AK28" s="156" t="n">
        <v>0</v>
      </c>
      <c r="AL28" s="156" t="n">
        <v>0</v>
      </c>
      <c r="AM28" s="156" t="n">
        <v>0</v>
      </c>
      <c r="AN28" s="156" t="n">
        <v>0</v>
      </c>
      <c r="AO28" s="84"/>
      <c r="AP28" s="482" t="n">
        <f aca="false">SUM(E28:AO28)</f>
        <v>0</v>
      </c>
      <c r="AQ28" s="648" t="n">
        <f aca="false">AQ27+1</f>
        <v>22</v>
      </c>
      <c r="AR28" s="635"/>
      <c r="AS28" s="635"/>
      <c r="AT28" s="635"/>
      <c r="AU28" s="635"/>
      <c r="AV28" s="635"/>
      <c r="AW28" s="635"/>
      <c r="AX28" s="635"/>
      <c r="AY28" s="635"/>
      <c r="AZ28" s="635"/>
      <c r="BA28" s="635"/>
      <c r="BB28" s="635"/>
      <c r="BC28" s="635"/>
      <c r="BD28" s="635"/>
      <c r="BE28" s="635"/>
      <c r="BF28" s="635"/>
      <c r="BG28" s="635"/>
      <c r="BH28" s="635"/>
      <c r="BI28" s="635"/>
      <c r="BJ28" s="635"/>
      <c r="BK28" s="635"/>
      <c r="BL28" s="635"/>
      <c r="BM28" s="635"/>
      <c r="BN28" s="635"/>
      <c r="BO28" s="635"/>
      <c r="BP28" s="635"/>
      <c r="BQ28" s="635"/>
      <c r="BR28" s="635"/>
      <c r="BS28" s="635"/>
      <c r="BT28" s="635"/>
      <c r="BU28" s="635"/>
      <c r="BV28" s="635"/>
      <c r="BW28" s="635"/>
      <c r="BX28" s="635"/>
      <c r="BY28" s="635"/>
      <c r="BZ28" s="635"/>
      <c r="CA28" s="635"/>
      <c r="CB28" s="635"/>
      <c r="CC28" s="635"/>
      <c r="CD28" s="635"/>
      <c r="CE28" s="635"/>
      <c r="CF28" s="635"/>
      <c r="CG28" s="635"/>
      <c r="CH28" s="635"/>
      <c r="CI28" s="635"/>
      <c r="CJ28" s="635"/>
      <c r="CK28" s="635"/>
      <c r="CL28" s="635"/>
      <c r="CM28" s="635"/>
      <c r="CN28" s="635"/>
      <c r="CO28" s="635"/>
      <c r="CP28" s="635"/>
      <c r="CQ28" s="635"/>
      <c r="CR28" s="635"/>
      <c r="CS28" s="635"/>
      <c r="CT28" s="635"/>
      <c r="CU28" s="635"/>
      <c r="CV28" s="635"/>
      <c r="CW28" s="635"/>
      <c r="CX28" s="635"/>
      <c r="CY28" s="635"/>
      <c r="CZ28" s="635"/>
      <c r="DA28" s="635"/>
      <c r="DB28" s="635"/>
      <c r="DC28" s="635"/>
      <c r="DD28" s="635"/>
      <c r="DE28" s="635"/>
      <c r="DF28" s="635"/>
      <c r="DG28" s="635"/>
      <c r="DH28" s="635"/>
      <c r="DI28" s="635"/>
      <c r="DJ28" s="635"/>
      <c r="DK28" s="635"/>
      <c r="DL28" s="635"/>
      <c r="DM28" s="635"/>
      <c r="DN28" s="635"/>
      <c r="DO28" s="635"/>
      <c r="DP28" s="635"/>
      <c r="DQ28" s="635"/>
      <c r="DR28" s="635"/>
      <c r="DS28" s="635"/>
      <c r="DT28" s="635"/>
      <c r="DU28" s="635"/>
      <c r="DV28" s="635"/>
      <c r="DW28" s="635"/>
      <c r="DX28" s="635"/>
      <c r="DY28" s="635"/>
      <c r="DZ28" s="635"/>
      <c r="EA28" s="635"/>
      <c r="EB28" s="635"/>
      <c r="EC28" s="635"/>
      <c r="ED28" s="635"/>
      <c r="EE28" s="635"/>
      <c r="EF28" s="635"/>
      <c r="EG28" s="635"/>
      <c r="EH28" s="635"/>
      <c r="EI28" s="635"/>
      <c r="EJ28" s="635"/>
      <c r="EK28" s="635"/>
      <c r="EL28" s="635"/>
      <c r="EM28" s="635"/>
      <c r="EN28" s="635"/>
      <c r="EO28" s="635"/>
      <c r="EP28" s="635"/>
      <c r="EQ28" s="635"/>
      <c r="ER28" s="635"/>
      <c r="ES28" s="635"/>
      <c r="ET28" s="635"/>
      <c r="EU28" s="635"/>
      <c r="EV28" s="635"/>
      <c r="EW28" s="635"/>
      <c r="EX28" s="635"/>
      <c r="EY28" s="635"/>
      <c r="EZ28" s="635"/>
      <c r="FA28" s="635"/>
      <c r="FB28" s="635"/>
      <c r="FC28" s="635"/>
      <c r="FD28" s="635"/>
      <c r="FE28" s="635"/>
      <c r="FF28" s="635"/>
      <c r="FG28" s="635"/>
      <c r="FH28" s="635"/>
      <c r="FI28" s="635"/>
      <c r="FJ28" s="635"/>
      <c r="FK28" s="635"/>
      <c r="FL28" s="635"/>
      <c r="FM28" s="635"/>
      <c r="FN28" s="635"/>
      <c r="FO28" s="635"/>
      <c r="FP28" s="635"/>
      <c r="FQ28" s="635"/>
      <c r="FR28" s="635"/>
      <c r="FS28" s="635"/>
      <c r="FT28" s="635"/>
      <c r="FU28" s="635"/>
      <c r="FV28" s="635"/>
      <c r="FW28" s="635"/>
      <c r="FX28" s="635"/>
      <c r="FY28" s="635"/>
      <c r="FZ28" s="635"/>
      <c r="GA28" s="635"/>
      <c r="GB28" s="635"/>
      <c r="GC28" s="635"/>
      <c r="GD28" s="635"/>
      <c r="GE28" s="635"/>
      <c r="GF28" s="635"/>
      <c r="GG28" s="635"/>
      <c r="GH28" s="635"/>
      <c r="GI28" s="635"/>
      <c r="GJ28" s="635"/>
      <c r="GK28" s="635"/>
      <c r="GL28" s="635"/>
      <c r="GM28" s="635"/>
      <c r="GN28" s="635"/>
      <c r="GO28" s="635"/>
      <c r="GP28" s="635"/>
      <c r="GQ28" s="635"/>
      <c r="GR28" s="635"/>
      <c r="GS28" s="635"/>
      <c r="GT28" s="635"/>
      <c r="GU28" s="635"/>
      <c r="GV28" s="635"/>
      <c r="GW28" s="635"/>
      <c r="GX28" s="635"/>
      <c r="GY28" s="635"/>
      <c r="GZ28" s="635"/>
      <c r="HA28" s="635"/>
      <c r="HB28" s="635"/>
      <c r="HC28" s="635"/>
      <c r="HD28" s="635"/>
      <c r="HE28" s="635"/>
      <c r="HF28" s="635"/>
      <c r="HG28" s="635"/>
      <c r="HH28" s="635"/>
      <c r="HI28" s="635"/>
      <c r="HJ28" s="635"/>
      <c r="HK28" s="635"/>
      <c r="HL28" s="635"/>
      <c r="HM28" s="635"/>
      <c r="HN28" s="635"/>
      <c r="HO28" s="635"/>
      <c r="HP28" s="635"/>
      <c r="HQ28" s="635"/>
      <c r="HR28" s="635"/>
      <c r="HS28" s="635"/>
      <c r="HT28" s="635"/>
      <c r="HU28" s="635"/>
      <c r="HV28" s="635"/>
      <c r="HW28" s="635"/>
      <c r="HX28" s="635"/>
      <c r="HY28" s="635"/>
      <c r="HZ28" s="635"/>
      <c r="IA28" s="635"/>
      <c r="IB28" s="635"/>
      <c r="IC28" s="635"/>
      <c r="ID28" s="635"/>
      <c r="IE28" s="635"/>
      <c r="IF28" s="635"/>
      <c r="IG28" s="635"/>
      <c r="IH28" s="635"/>
      <c r="II28" s="635"/>
      <c r="IJ28" s="635"/>
      <c r="IK28" s="635"/>
      <c r="IL28" s="635"/>
      <c r="IM28" s="635"/>
      <c r="IN28" s="635"/>
      <c r="IO28" s="635"/>
      <c r="IP28" s="635"/>
      <c r="IQ28" s="635"/>
      <c r="IR28" s="635"/>
      <c r="IS28" s="635"/>
      <c r="IT28" s="635"/>
      <c r="IU28" s="635"/>
      <c r="IV28" s="635"/>
      <c r="IW28" s="635"/>
    </row>
    <row r="29" customFormat="false" ht="12.75" hidden="false" customHeight="false" outlineLevel="0" collapsed="false">
      <c r="A29" s="649" t="str">
        <f aca="false">Assm!N30</f>
        <v>3rd Party Legal Fees</v>
      </c>
      <c r="B29" s="112"/>
      <c r="C29" s="174" t="n">
        <f aca="false">Assm!R30</f>
        <v>2182.275</v>
      </c>
      <c r="D29" s="84"/>
      <c r="E29" s="499" t="n">
        <f aca="false">E86</f>
        <v>0</v>
      </c>
      <c r="F29" s="499" t="n">
        <f aca="false">F86</f>
        <v>0</v>
      </c>
      <c r="G29" s="499" t="n">
        <f aca="false">G86</f>
        <v>0</v>
      </c>
      <c r="H29" s="499" t="n">
        <f aca="false">H86</f>
        <v>0</v>
      </c>
      <c r="I29" s="499" t="n">
        <f aca="false">I86</f>
        <v>0</v>
      </c>
      <c r="J29" s="499" t="n">
        <f aca="false">J86</f>
        <v>0</v>
      </c>
      <c r="K29" s="499" t="n">
        <f aca="false">K86</f>
        <v>0</v>
      </c>
      <c r="L29" s="499" t="n">
        <f aca="false">L86</f>
        <v>0</v>
      </c>
      <c r="M29" s="499" t="n">
        <f aca="false">M86</f>
        <v>0</v>
      </c>
      <c r="N29" s="499" t="n">
        <f aca="false">N86</f>
        <v>0</v>
      </c>
      <c r="O29" s="499" t="n">
        <f aca="false">O86</f>
        <v>0</v>
      </c>
      <c r="P29" s="499" t="n">
        <f aca="false">P86</f>
        <v>0</v>
      </c>
      <c r="Q29" s="499" t="n">
        <f aca="false">Q86</f>
        <v>0</v>
      </c>
      <c r="R29" s="499" t="n">
        <f aca="false">R86</f>
        <v>0</v>
      </c>
      <c r="S29" s="499" t="n">
        <f aca="false">S86</f>
        <v>0</v>
      </c>
      <c r="T29" s="499" t="n">
        <f aca="false">T86</f>
        <v>382.237013774105</v>
      </c>
      <c r="U29" s="499" t="n">
        <f aca="false">U86</f>
        <v>36.8558327678898</v>
      </c>
      <c r="V29" s="499" t="n">
        <f aca="false">V86</f>
        <v>0</v>
      </c>
      <c r="W29" s="499" t="n">
        <f aca="false">W86</f>
        <v>31.9851049667179</v>
      </c>
      <c r="X29" s="499" t="n">
        <f aca="false">X86</f>
        <v>0</v>
      </c>
      <c r="Y29" s="156" t="n">
        <v>0</v>
      </c>
      <c r="Z29" s="156" t="n">
        <v>0</v>
      </c>
      <c r="AA29" s="156" t="n">
        <v>0</v>
      </c>
      <c r="AB29" s="156" t="n">
        <v>0</v>
      </c>
      <c r="AC29" s="156" t="n">
        <v>0</v>
      </c>
      <c r="AD29" s="156" t="n">
        <v>0</v>
      </c>
      <c r="AE29" s="156" t="n">
        <v>0</v>
      </c>
      <c r="AF29" s="650" t="n">
        <f aca="false">$C29-SUM($E29:AE29)</f>
        <v>1731.19704849129</v>
      </c>
      <c r="AG29" s="156" t="n">
        <v>0</v>
      </c>
      <c r="AH29" s="156" t="n">
        <v>0</v>
      </c>
      <c r="AI29" s="156" t="n">
        <v>0</v>
      </c>
      <c r="AJ29" s="156" t="n">
        <v>0</v>
      </c>
      <c r="AK29" s="156" t="n">
        <v>0</v>
      </c>
      <c r="AL29" s="156" t="n">
        <v>0</v>
      </c>
      <c r="AM29" s="156" t="n">
        <v>0</v>
      </c>
      <c r="AN29" s="156" t="n">
        <v>0</v>
      </c>
      <c r="AO29" s="84"/>
      <c r="AP29" s="482" t="n">
        <f aca="false">SUM(E29:AO29)</f>
        <v>2182.275</v>
      </c>
      <c r="AQ29" s="648" t="n">
        <f aca="false">AQ28+1</f>
        <v>23</v>
      </c>
      <c r="AR29" s="635"/>
      <c r="AS29" s="635"/>
      <c r="AT29" s="635"/>
      <c r="AU29" s="635"/>
      <c r="AV29" s="635"/>
      <c r="AW29" s="635"/>
      <c r="AX29" s="635"/>
      <c r="AY29" s="635"/>
      <c r="AZ29" s="635"/>
      <c r="BA29" s="635"/>
      <c r="BB29" s="635"/>
      <c r="BC29" s="635"/>
      <c r="BD29" s="635"/>
      <c r="BE29" s="635"/>
      <c r="BF29" s="635"/>
      <c r="BG29" s="635"/>
      <c r="BH29" s="635"/>
      <c r="BI29" s="635"/>
      <c r="BJ29" s="635"/>
      <c r="BK29" s="635"/>
      <c r="BL29" s="635"/>
      <c r="BM29" s="635"/>
      <c r="BN29" s="635"/>
      <c r="BO29" s="635"/>
      <c r="BP29" s="635"/>
      <c r="BQ29" s="635"/>
      <c r="BR29" s="635"/>
      <c r="BS29" s="635"/>
      <c r="BT29" s="635"/>
      <c r="BU29" s="635"/>
      <c r="BV29" s="635"/>
      <c r="BW29" s="635"/>
      <c r="BX29" s="635"/>
      <c r="BY29" s="635"/>
      <c r="BZ29" s="635"/>
      <c r="CA29" s="635"/>
      <c r="CB29" s="635"/>
      <c r="CC29" s="635"/>
      <c r="CD29" s="635"/>
      <c r="CE29" s="635"/>
      <c r="CF29" s="635"/>
      <c r="CG29" s="635"/>
      <c r="CH29" s="635"/>
      <c r="CI29" s="635"/>
      <c r="CJ29" s="635"/>
      <c r="CK29" s="635"/>
      <c r="CL29" s="635"/>
      <c r="CM29" s="635"/>
      <c r="CN29" s="635"/>
      <c r="CO29" s="635"/>
      <c r="CP29" s="635"/>
      <c r="CQ29" s="635"/>
      <c r="CR29" s="635"/>
      <c r="CS29" s="635"/>
      <c r="CT29" s="635"/>
      <c r="CU29" s="635"/>
      <c r="CV29" s="635"/>
      <c r="CW29" s="635"/>
      <c r="CX29" s="635"/>
      <c r="CY29" s="635"/>
      <c r="CZ29" s="635"/>
      <c r="DA29" s="635"/>
      <c r="DB29" s="635"/>
      <c r="DC29" s="635"/>
      <c r="DD29" s="635"/>
      <c r="DE29" s="635"/>
      <c r="DF29" s="635"/>
      <c r="DG29" s="635"/>
      <c r="DH29" s="635"/>
      <c r="DI29" s="635"/>
      <c r="DJ29" s="635"/>
      <c r="DK29" s="635"/>
      <c r="DL29" s="635"/>
      <c r="DM29" s="635"/>
      <c r="DN29" s="635"/>
      <c r="DO29" s="635"/>
      <c r="DP29" s="635"/>
      <c r="DQ29" s="635"/>
      <c r="DR29" s="635"/>
      <c r="DS29" s="635"/>
      <c r="DT29" s="635"/>
      <c r="DU29" s="635"/>
      <c r="DV29" s="635"/>
      <c r="DW29" s="635"/>
      <c r="DX29" s="635"/>
      <c r="DY29" s="635"/>
      <c r="DZ29" s="635"/>
      <c r="EA29" s="635"/>
      <c r="EB29" s="635"/>
      <c r="EC29" s="635"/>
      <c r="ED29" s="635"/>
      <c r="EE29" s="635"/>
      <c r="EF29" s="635"/>
      <c r="EG29" s="635"/>
      <c r="EH29" s="635"/>
      <c r="EI29" s="635"/>
      <c r="EJ29" s="635"/>
      <c r="EK29" s="635"/>
      <c r="EL29" s="635"/>
      <c r="EM29" s="635"/>
      <c r="EN29" s="635"/>
      <c r="EO29" s="635"/>
      <c r="EP29" s="635"/>
      <c r="EQ29" s="635"/>
      <c r="ER29" s="635"/>
      <c r="ES29" s="635"/>
      <c r="ET29" s="635"/>
      <c r="EU29" s="635"/>
      <c r="EV29" s="635"/>
      <c r="EW29" s="635"/>
      <c r="EX29" s="635"/>
      <c r="EY29" s="635"/>
      <c r="EZ29" s="635"/>
      <c r="FA29" s="635"/>
      <c r="FB29" s="635"/>
      <c r="FC29" s="635"/>
      <c r="FD29" s="635"/>
      <c r="FE29" s="635"/>
      <c r="FF29" s="635"/>
      <c r="FG29" s="635"/>
      <c r="FH29" s="635"/>
      <c r="FI29" s="635"/>
      <c r="FJ29" s="635"/>
      <c r="FK29" s="635"/>
      <c r="FL29" s="635"/>
      <c r="FM29" s="635"/>
      <c r="FN29" s="635"/>
      <c r="FO29" s="635"/>
      <c r="FP29" s="635"/>
      <c r="FQ29" s="635"/>
      <c r="FR29" s="635"/>
      <c r="FS29" s="635"/>
      <c r="FT29" s="635"/>
      <c r="FU29" s="635"/>
      <c r="FV29" s="635"/>
      <c r="FW29" s="635"/>
      <c r="FX29" s="635"/>
      <c r="FY29" s="635"/>
      <c r="FZ29" s="635"/>
      <c r="GA29" s="635"/>
      <c r="GB29" s="635"/>
      <c r="GC29" s="635"/>
      <c r="GD29" s="635"/>
      <c r="GE29" s="635"/>
      <c r="GF29" s="635"/>
      <c r="GG29" s="635"/>
      <c r="GH29" s="635"/>
      <c r="GI29" s="635"/>
      <c r="GJ29" s="635"/>
      <c r="GK29" s="635"/>
      <c r="GL29" s="635"/>
      <c r="GM29" s="635"/>
      <c r="GN29" s="635"/>
      <c r="GO29" s="635"/>
      <c r="GP29" s="635"/>
      <c r="GQ29" s="635"/>
      <c r="GR29" s="635"/>
      <c r="GS29" s="635"/>
      <c r="GT29" s="635"/>
      <c r="GU29" s="635"/>
      <c r="GV29" s="635"/>
      <c r="GW29" s="635"/>
      <c r="GX29" s="635"/>
      <c r="GY29" s="635"/>
      <c r="GZ29" s="635"/>
      <c r="HA29" s="635"/>
      <c r="HB29" s="635"/>
      <c r="HC29" s="635"/>
      <c r="HD29" s="635"/>
      <c r="HE29" s="635"/>
      <c r="HF29" s="635"/>
      <c r="HG29" s="635"/>
      <c r="HH29" s="635"/>
      <c r="HI29" s="635"/>
      <c r="HJ29" s="635"/>
      <c r="HK29" s="635"/>
      <c r="HL29" s="635"/>
      <c r="HM29" s="635"/>
      <c r="HN29" s="635"/>
      <c r="HO29" s="635"/>
      <c r="HP29" s="635"/>
      <c r="HQ29" s="635"/>
      <c r="HR29" s="635"/>
      <c r="HS29" s="635"/>
      <c r="HT29" s="635"/>
      <c r="HU29" s="635"/>
      <c r="HV29" s="635"/>
      <c r="HW29" s="635"/>
      <c r="HX29" s="635"/>
      <c r="HY29" s="635"/>
      <c r="HZ29" s="635"/>
      <c r="IA29" s="635"/>
      <c r="IB29" s="635"/>
      <c r="IC29" s="635"/>
      <c r="ID29" s="635"/>
      <c r="IE29" s="635"/>
      <c r="IF29" s="635"/>
      <c r="IG29" s="635"/>
      <c r="IH29" s="635"/>
      <c r="II29" s="635"/>
      <c r="IJ29" s="635"/>
      <c r="IK29" s="635"/>
      <c r="IL29" s="635"/>
      <c r="IM29" s="635"/>
      <c r="IN29" s="635"/>
      <c r="IO29" s="635"/>
      <c r="IP29" s="635"/>
      <c r="IQ29" s="635"/>
      <c r="IR29" s="635"/>
      <c r="IS29" s="635"/>
      <c r="IT29" s="635"/>
      <c r="IU29" s="635"/>
      <c r="IV29" s="635"/>
      <c r="IW29" s="635"/>
    </row>
    <row r="30" customFormat="false" ht="12.75" hidden="false" customHeight="false" outlineLevel="0" collapsed="false">
      <c r="A30" s="649" t="str">
        <f aca="false">Assm!N31</f>
        <v>Construction Insurance</v>
      </c>
      <c r="B30" s="112"/>
      <c r="C30" s="484" t="n">
        <f aca="false">Assm!R31</f>
        <v>771.594</v>
      </c>
      <c r="D30" s="84"/>
      <c r="E30" s="652" t="n">
        <f aca="false">E88</f>
        <v>27.5296833773087</v>
      </c>
      <c r="F30" s="652" t="n">
        <f aca="false">F88</f>
        <v>0</v>
      </c>
      <c r="G30" s="652" t="n">
        <f aca="false">G88</f>
        <v>0</v>
      </c>
      <c r="H30" s="652" t="n">
        <f aca="false">H88</f>
        <v>0</v>
      </c>
      <c r="I30" s="652" t="n">
        <f aca="false">I88</f>
        <v>497.900968564146</v>
      </c>
      <c r="J30" s="652" t="n">
        <f aca="false">J88</f>
        <v>0</v>
      </c>
      <c r="K30" s="652" t="n">
        <f aca="false">K88</f>
        <v>0</v>
      </c>
      <c r="L30" s="652" t="n">
        <f aca="false">L88</f>
        <v>0</v>
      </c>
      <c r="M30" s="652" t="n">
        <f aca="false">M88</f>
        <v>77.7083319515835</v>
      </c>
      <c r="N30" s="652" t="n">
        <f aca="false">N88</f>
        <v>0</v>
      </c>
      <c r="O30" s="652" t="n">
        <f aca="false">O88</f>
        <v>0</v>
      </c>
      <c r="P30" s="652" t="n">
        <f aca="false">P88</f>
        <v>0</v>
      </c>
      <c r="Q30" s="652" t="n">
        <f aca="false">Q88</f>
        <v>0</v>
      </c>
      <c r="R30" s="652" t="n">
        <f aca="false">R88</f>
        <v>0</v>
      </c>
      <c r="S30" s="652" t="n">
        <f aca="false">S88</f>
        <v>0</v>
      </c>
      <c r="T30" s="652" t="n">
        <f aca="false">T88</f>
        <v>0</v>
      </c>
      <c r="U30" s="652" t="n">
        <f aca="false">U88</f>
        <v>0</v>
      </c>
      <c r="V30" s="652" t="n">
        <f aca="false">V88</f>
        <v>0</v>
      </c>
      <c r="W30" s="652" t="n">
        <f aca="false">W88</f>
        <v>0</v>
      </c>
      <c r="X30" s="652" t="n">
        <f aca="false">X88</f>
        <v>0</v>
      </c>
      <c r="Y30" s="177" t="n">
        <v>0</v>
      </c>
      <c r="Z30" s="177" t="n">
        <v>0</v>
      </c>
      <c r="AA30" s="177" t="n">
        <v>0</v>
      </c>
      <c r="AB30" s="177" t="n">
        <v>0</v>
      </c>
      <c r="AC30" s="177" t="n">
        <v>0</v>
      </c>
      <c r="AD30" s="177" t="n">
        <v>0</v>
      </c>
      <c r="AE30" s="177" t="n">
        <v>0</v>
      </c>
      <c r="AF30" s="653" t="n">
        <f aca="false">$C30-SUM($E30:AE30)</f>
        <v>168.455016106962</v>
      </c>
      <c r="AG30" s="177" t="n">
        <v>0</v>
      </c>
      <c r="AH30" s="177" t="n">
        <v>0</v>
      </c>
      <c r="AI30" s="177" t="n">
        <v>0</v>
      </c>
      <c r="AJ30" s="177" t="n">
        <v>0</v>
      </c>
      <c r="AK30" s="177" t="n">
        <v>0</v>
      </c>
      <c r="AL30" s="177" t="n">
        <v>0</v>
      </c>
      <c r="AM30" s="177" t="n">
        <v>0</v>
      </c>
      <c r="AN30" s="177" t="n">
        <v>0</v>
      </c>
      <c r="AO30" s="84"/>
      <c r="AP30" s="485" t="n">
        <f aca="false">SUM(E30:AO30)</f>
        <v>771.594</v>
      </c>
      <c r="AQ30" s="648" t="n">
        <f aca="false">AQ29+1</f>
        <v>24</v>
      </c>
      <c r="AR30" s="635"/>
      <c r="AS30" s="635"/>
      <c r="AT30" s="635"/>
      <c r="AU30" s="635"/>
      <c r="AV30" s="635"/>
      <c r="AW30" s="635"/>
      <c r="AX30" s="635"/>
      <c r="AY30" s="635"/>
      <c r="AZ30" s="635"/>
      <c r="BA30" s="635"/>
      <c r="BB30" s="635"/>
      <c r="BC30" s="635"/>
      <c r="BD30" s="635"/>
      <c r="BE30" s="635"/>
      <c r="BF30" s="635"/>
      <c r="BG30" s="635"/>
      <c r="BH30" s="635"/>
      <c r="BI30" s="635"/>
      <c r="BJ30" s="635"/>
      <c r="BK30" s="635"/>
      <c r="BL30" s="635"/>
      <c r="BM30" s="635"/>
      <c r="BN30" s="635"/>
      <c r="BO30" s="635"/>
      <c r="BP30" s="635"/>
      <c r="BQ30" s="635"/>
      <c r="BR30" s="635"/>
      <c r="BS30" s="635"/>
      <c r="BT30" s="635"/>
      <c r="BU30" s="635"/>
      <c r="BV30" s="635"/>
      <c r="BW30" s="635"/>
      <c r="BX30" s="635"/>
      <c r="BY30" s="635"/>
      <c r="BZ30" s="635"/>
      <c r="CA30" s="635"/>
      <c r="CB30" s="635"/>
      <c r="CC30" s="635"/>
      <c r="CD30" s="635"/>
      <c r="CE30" s="635"/>
      <c r="CF30" s="635"/>
      <c r="CG30" s="635"/>
      <c r="CH30" s="635"/>
      <c r="CI30" s="635"/>
      <c r="CJ30" s="635"/>
      <c r="CK30" s="635"/>
      <c r="CL30" s="635"/>
      <c r="CM30" s="635"/>
      <c r="CN30" s="635"/>
      <c r="CO30" s="635"/>
      <c r="CP30" s="635"/>
      <c r="CQ30" s="635"/>
      <c r="CR30" s="635"/>
      <c r="CS30" s="635"/>
      <c r="CT30" s="635"/>
      <c r="CU30" s="635"/>
      <c r="CV30" s="635"/>
      <c r="CW30" s="635"/>
      <c r="CX30" s="635"/>
      <c r="CY30" s="635"/>
      <c r="CZ30" s="635"/>
      <c r="DA30" s="635"/>
      <c r="DB30" s="635"/>
      <c r="DC30" s="635"/>
      <c r="DD30" s="635"/>
      <c r="DE30" s="635"/>
      <c r="DF30" s="635"/>
      <c r="DG30" s="635"/>
      <c r="DH30" s="635"/>
      <c r="DI30" s="635"/>
      <c r="DJ30" s="635"/>
      <c r="DK30" s="635"/>
      <c r="DL30" s="635"/>
      <c r="DM30" s="635"/>
      <c r="DN30" s="635"/>
      <c r="DO30" s="635"/>
      <c r="DP30" s="635"/>
      <c r="DQ30" s="635"/>
      <c r="DR30" s="635"/>
      <c r="DS30" s="635"/>
      <c r="DT30" s="635"/>
      <c r="DU30" s="635"/>
      <c r="DV30" s="635"/>
      <c r="DW30" s="635"/>
      <c r="DX30" s="635"/>
      <c r="DY30" s="635"/>
      <c r="DZ30" s="635"/>
      <c r="EA30" s="635"/>
      <c r="EB30" s="635"/>
      <c r="EC30" s="635"/>
      <c r="ED30" s="635"/>
      <c r="EE30" s="635"/>
      <c r="EF30" s="635"/>
      <c r="EG30" s="635"/>
      <c r="EH30" s="635"/>
      <c r="EI30" s="635"/>
      <c r="EJ30" s="635"/>
      <c r="EK30" s="635"/>
      <c r="EL30" s="635"/>
      <c r="EM30" s="635"/>
      <c r="EN30" s="635"/>
      <c r="EO30" s="635"/>
      <c r="EP30" s="635"/>
      <c r="EQ30" s="635"/>
      <c r="ER30" s="635"/>
      <c r="ES30" s="635"/>
      <c r="ET30" s="635"/>
      <c r="EU30" s="635"/>
      <c r="EV30" s="635"/>
      <c r="EW30" s="635"/>
      <c r="EX30" s="635"/>
      <c r="EY30" s="635"/>
      <c r="EZ30" s="635"/>
      <c r="FA30" s="635"/>
      <c r="FB30" s="635"/>
      <c r="FC30" s="635"/>
      <c r="FD30" s="635"/>
      <c r="FE30" s="635"/>
      <c r="FF30" s="635"/>
      <c r="FG30" s="635"/>
      <c r="FH30" s="635"/>
      <c r="FI30" s="635"/>
      <c r="FJ30" s="635"/>
      <c r="FK30" s="635"/>
      <c r="FL30" s="635"/>
      <c r="FM30" s="635"/>
      <c r="FN30" s="635"/>
      <c r="FO30" s="635"/>
      <c r="FP30" s="635"/>
      <c r="FQ30" s="635"/>
      <c r="FR30" s="635"/>
      <c r="FS30" s="635"/>
      <c r="FT30" s="635"/>
      <c r="FU30" s="635"/>
      <c r="FV30" s="635"/>
      <c r="FW30" s="635"/>
      <c r="FX30" s="635"/>
      <c r="FY30" s="635"/>
      <c r="FZ30" s="635"/>
      <c r="GA30" s="635"/>
      <c r="GB30" s="635"/>
      <c r="GC30" s="635"/>
      <c r="GD30" s="635"/>
      <c r="GE30" s="635"/>
      <c r="GF30" s="635"/>
      <c r="GG30" s="635"/>
      <c r="GH30" s="635"/>
      <c r="GI30" s="635"/>
      <c r="GJ30" s="635"/>
      <c r="GK30" s="635"/>
      <c r="GL30" s="635"/>
      <c r="GM30" s="635"/>
      <c r="GN30" s="635"/>
      <c r="GO30" s="635"/>
      <c r="GP30" s="635"/>
      <c r="GQ30" s="635"/>
      <c r="GR30" s="635"/>
      <c r="GS30" s="635"/>
      <c r="GT30" s="635"/>
      <c r="GU30" s="635"/>
      <c r="GV30" s="635"/>
      <c r="GW30" s="635"/>
      <c r="GX30" s="635"/>
      <c r="GY30" s="635"/>
      <c r="GZ30" s="635"/>
      <c r="HA30" s="635"/>
      <c r="HB30" s="635"/>
      <c r="HC30" s="635"/>
      <c r="HD30" s="635"/>
      <c r="HE30" s="635"/>
      <c r="HF30" s="635"/>
      <c r="HG30" s="635"/>
      <c r="HH30" s="635"/>
      <c r="HI30" s="635"/>
      <c r="HJ30" s="635"/>
      <c r="HK30" s="635"/>
      <c r="HL30" s="635"/>
      <c r="HM30" s="635"/>
      <c r="HN30" s="635"/>
      <c r="HO30" s="635"/>
      <c r="HP30" s="635"/>
      <c r="HQ30" s="635"/>
      <c r="HR30" s="635"/>
      <c r="HS30" s="635"/>
      <c r="HT30" s="635"/>
      <c r="HU30" s="635"/>
      <c r="HV30" s="635"/>
      <c r="HW30" s="635"/>
      <c r="HX30" s="635"/>
      <c r="HY30" s="635"/>
      <c r="HZ30" s="635"/>
      <c r="IA30" s="635"/>
      <c r="IB30" s="635"/>
      <c r="IC30" s="635"/>
      <c r="ID30" s="635"/>
      <c r="IE30" s="635"/>
      <c r="IF30" s="635"/>
      <c r="IG30" s="635"/>
      <c r="IH30" s="635"/>
      <c r="II30" s="635"/>
      <c r="IJ30" s="635"/>
      <c r="IK30" s="635"/>
      <c r="IL30" s="635"/>
      <c r="IM30" s="635"/>
      <c r="IN30" s="635"/>
      <c r="IO30" s="635"/>
      <c r="IP30" s="635"/>
      <c r="IQ30" s="635"/>
      <c r="IR30" s="635"/>
      <c r="IS30" s="635"/>
      <c r="IT30" s="635"/>
      <c r="IU30" s="635"/>
      <c r="IV30" s="635"/>
      <c r="IW30" s="635"/>
    </row>
    <row r="31" customFormat="false" ht="12.75" hidden="false" customHeight="false" outlineLevel="0" collapsed="false">
      <c r="A31" s="649" t="str">
        <f aca="false">Assm!N32</f>
        <v>Total 3rd Party Dev / Financing Costs</v>
      </c>
      <c r="B31" s="112"/>
      <c r="C31" s="174" t="n">
        <f aca="false">SUM(C26:C30)</f>
        <v>6924.21604179323</v>
      </c>
      <c r="D31" s="84"/>
      <c r="E31" s="174" t="n">
        <f aca="false">SUM(E26:E30)</f>
        <v>27.5296833773087</v>
      </c>
      <c r="F31" s="174" t="n">
        <f aca="false">SUM(F26:F30)</f>
        <v>0</v>
      </c>
      <c r="G31" s="174" t="n">
        <f aca="false">SUM(G26:G30)</f>
        <v>0</v>
      </c>
      <c r="H31" s="174" t="n">
        <f aca="false">SUM(H26:H30)</f>
        <v>0</v>
      </c>
      <c r="I31" s="174" t="n">
        <f aca="false">SUM(I26:I30)</f>
        <v>497.900968564146</v>
      </c>
      <c r="J31" s="174" t="n">
        <f aca="false">SUM(J26:J30)</f>
        <v>0</v>
      </c>
      <c r="K31" s="174" t="n">
        <f aca="false">SUM(K26:K30)</f>
        <v>0</v>
      </c>
      <c r="L31" s="174" t="n">
        <f aca="false">SUM(L26:L30)</f>
        <v>0</v>
      </c>
      <c r="M31" s="174" t="n">
        <f aca="false">SUM(M26:M30)</f>
        <v>77.7083319515835</v>
      </c>
      <c r="N31" s="174" t="n">
        <f aca="false">SUM(N26:N30)</f>
        <v>0</v>
      </c>
      <c r="O31" s="174" t="n">
        <f aca="false">SUM(O26:O30)</f>
        <v>0</v>
      </c>
      <c r="P31" s="174" t="n">
        <f aca="false">SUM(P26:P30)</f>
        <v>0</v>
      </c>
      <c r="Q31" s="174" t="n">
        <f aca="false">SUM(Q26:Q30)</f>
        <v>0</v>
      </c>
      <c r="R31" s="174" t="n">
        <f aca="false">SUM(R26:R30)</f>
        <v>0</v>
      </c>
      <c r="S31" s="174" t="n">
        <f aca="false">SUM(S26:S30)</f>
        <v>0</v>
      </c>
      <c r="T31" s="174" t="n">
        <f aca="false">SUM(T26:T30)</f>
        <v>382.237013774105</v>
      </c>
      <c r="U31" s="174" t="n">
        <f aca="false">SUM(U26:U30)</f>
        <v>36.8558327678898</v>
      </c>
      <c r="V31" s="174" t="n">
        <f aca="false">SUM(V26:V30)</f>
        <v>0</v>
      </c>
      <c r="W31" s="174" t="n">
        <f aca="false">SUM(W26:W30)</f>
        <v>31.9851049667179</v>
      </c>
      <c r="X31" s="174" t="n">
        <f aca="false">SUM(X26:X30)</f>
        <v>0</v>
      </c>
      <c r="Y31" s="174" t="n">
        <f aca="false">SUM(Y26:Y30)</f>
        <v>0</v>
      </c>
      <c r="Z31" s="174" t="n">
        <f aca="false">SUM(Z26:Z30)</f>
        <v>0</v>
      </c>
      <c r="AA31" s="174" t="n">
        <f aca="false">SUM(AA26:AA30)</f>
        <v>0</v>
      </c>
      <c r="AB31" s="174" t="n">
        <f aca="false">SUM(AB26:AB30)</f>
        <v>0</v>
      </c>
      <c r="AC31" s="174" t="n">
        <f aca="false">SUM(AC26:AC30)</f>
        <v>0</v>
      </c>
      <c r="AD31" s="174" t="n">
        <f aca="false">SUM(AD26:AD30)</f>
        <v>0</v>
      </c>
      <c r="AE31" s="174" t="n">
        <f aca="false">SUM(AE26:AE30)</f>
        <v>0</v>
      </c>
      <c r="AF31" s="174" t="n">
        <f aca="false">SUM(AF26:AF30)</f>
        <v>4730.97706459825</v>
      </c>
      <c r="AG31" s="174" t="n">
        <f aca="false">SUM(AG26:AG30)</f>
        <v>0</v>
      </c>
      <c r="AH31" s="174" t="n">
        <f aca="false">SUM(AH26:AH30)</f>
        <v>1139.02204179323</v>
      </c>
      <c r="AI31" s="174" t="n">
        <f aca="false">SUM(AI26:AI30)</f>
        <v>0</v>
      </c>
      <c r="AJ31" s="174" t="n">
        <f aca="false">SUM(AJ26:AJ30)</f>
        <v>0</v>
      </c>
      <c r="AK31" s="174" t="n">
        <f aca="false">SUM(AK26:AK30)</f>
        <v>0</v>
      </c>
      <c r="AL31" s="174" t="n">
        <f aca="false">SUM(AL26:AL30)</f>
        <v>0</v>
      </c>
      <c r="AM31" s="174" t="n">
        <f aca="false">SUM(AM26:AM30)</f>
        <v>0</v>
      </c>
      <c r="AN31" s="174" t="n">
        <f aca="false">SUM(AN26:AN30)</f>
        <v>0</v>
      </c>
      <c r="AO31" s="84"/>
      <c r="AP31" s="482" t="n">
        <f aca="false">SUM(E31:AO31)</f>
        <v>6924.21604179323</v>
      </c>
      <c r="AQ31" s="648" t="n">
        <f aca="false">AQ30+1</f>
        <v>25</v>
      </c>
      <c r="AR31" s="635"/>
      <c r="AS31" s="635"/>
      <c r="AT31" s="635"/>
      <c r="AU31" s="635"/>
      <c r="AV31" s="635"/>
      <c r="AW31" s="635"/>
      <c r="AX31" s="635"/>
      <c r="AY31" s="635"/>
      <c r="AZ31" s="635"/>
      <c r="BA31" s="635"/>
      <c r="BB31" s="635"/>
      <c r="BC31" s="635"/>
      <c r="BD31" s="635"/>
      <c r="BE31" s="635"/>
      <c r="BF31" s="635"/>
      <c r="BG31" s="635"/>
      <c r="BH31" s="635"/>
      <c r="BI31" s="635"/>
      <c r="BJ31" s="635"/>
      <c r="BK31" s="635"/>
      <c r="BL31" s="635"/>
      <c r="BM31" s="635"/>
      <c r="BN31" s="635"/>
      <c r="BO31" s="635"/>
      <c r="BP31" s="635"/>
      <c r="BQ31" s="635"/>
      <c r="BR31" s="635"/>
      <c r="BS31" s="635"/>
      <c r="BT31" s="635"/>
      <c r="BU31" s="635"/>
      <c r="BV31" s="635"/>
      <c r="BW31" s="635"/>
      <c r="BX31" s="635"/>
      <c r="BY31" s="635"/>
      <c r="BZ31" s="635"/>
      <c r="CA31" s="635"/>
      <c r="CB31" s="635"/>
      <c r="CC31" s="635"/>
      <c r="CD31" s="635"/>
      <c r="CE31" s="635"/>
      <c r="CF31" s="635"/>
      <c r="CG31" s="635"/>
      <c r="CH31" s="635"/>
      <c r="CI31" s="635"/>
      <c r="CJ31" s="635"/>
      <c r="CK31" s="635"/>
      <c r="CL31" s="635"/>
      <c r="CM31" s="635"/>
      <c r="CN31" s="635"/>
      <c r="CO31" s="635"/>
      <c r="CP31" s="635"/>
      <c r="CQ31" s="635"/>
      <c r="CR31" s="635"/>
      <c r="CS31" s="635"/>
      <c r="CT31" s="635"/>
      <c r="CU31" s="635"/>
      <c r="CV31" s="635"/>
      <c r="CW31" s="635"/>
      <c r="CX31" s="635"/>
      <c r="CY31" s="635"/>
      <c r="CZ31" s="635"/>
      <c r="DA31" s="635"/>
      <c r="DB31" s="635"/>
      <c r="DC31" s="635"/>
      <c r="DD31" s="635"/>
      <c r="DE31" s="635"/>
      <c r="DF31" s="635"/>
      <c r="DG31" s="635"/>
      <c r="DH31" s="635"/>
      <c r="DI31" s="635"/>
      <c r="DJ31" s="635"/>
      <c r="DK31" s="635"/>
      <c r="DL31" s="635"/>
      <c r="DM31" s="635"/>
      <c r="DN31" s="635"/>
      <c r="DO31" s="635"/>
      <c r="DP31" s="635"/>
      <c r="DQ31" s="635"/>
      <c r="DR31" s="635"/>
      <c r="DS31" s="635"/>
      <c r="DT31" s="635"/>
      <c r="DU31" s="635"/>
      <c r="DV31" s="635"/>
      <c r="DW31" s="635"/>
      <c r="DX31" s="635"/>
      <c r="DY31" s="635"/>
      <c r="DZ31" s="635"/>
      <c r="EA31" s="635"/>
      <c r="EB31" s="635"/>
      <c r="EC31" s="635"/>
      <c r="ED31" s="635"/>
      <c r="EE31" s="635"/>
      <c r="EF31" s="635"/>
      <c r="EG31" s="635"/>
      <c r="EH31" s="635"/>
      <c r="EI31" s="635"/>
      <c r="EJ31" s="635"/>
      <c r="EK31" s="635"/>
      <c r="EL31" s="635"/>
      <c r="EM31" s="635"/>
      <c r="EN31" s="635"/>
      <c r="EO31" s="635"/>
      <c r="EP31" s="635"/>
      <c r="EQ31" s="635"/>
      <c r="ER31" s="635"/>
      <c r="ES31" s="635"/>
      <c r="ET31" s="635"/>
      <c r="EU31" s="635"/>
      <c r="EV31" s="635"/>
      <c r="EW31" s="635"/>
      <c r="EX31" s="635"/>
      <c r="EY31" s="635"/>
      <c r="EZ31" s="635"/>
      <c r="FA31" s="635"/>
      <c r="FB31" s="635"/>
      <c r="FC31" s="635"/>
      <c r="FD31" s="635"/>
      <c r="FE31" s="635"/>
      <c r="FF31" s="635"/>
      <c r="FG31" s="635"/>
      <c r="FH31" s="635"/>
      <c r="FI31" s="635"/>
      <c r="FJ31" s="635"/>
      <c r="FK31" s="635"/>
      <c r="FL31" s="635"/>
      <c r="FM31" s="635"/>
      <c r="FN31" s="635"/>
      <c r="FO31" s="635"/>
      <c r="FP31" s="635"/>
      <c r="FQ31" s="635"/>
      <c r="FR31" s="635"/>
      <c r="FS31" s="635"/>
      <c r="FT31" s="635"/>
      <c r="FU31" s="635"/>
      <c r="FV31" s="635"/>
      <c r="FW31" s="635"/>
      <c r="FX31" s="635"/>
      <c r="FY31" s="635"/>
      <c r="FZ31" s="635"/>
      <c r="GA31" s="635"/>
      <c r="GB31" s="635"/>
      <c r="GC31" s="635"/>
      <c r="GD31" s="635"/>
      <c r="GE31" s="635"/>
      <c r="GF31" s="635"/>
      <c r="GG31" s="635"/>
      <c r="GH31" s="635"/>
      <c r="GI31" s="635"/>
      <c r="GJ31" s="635"/>
      <c r="GK31" s="635"/>
      <c r="GL31" s="635"/>
      <c r="GM31" s="635"/>
      <c r="GN31" s="635"/>
      <c r="GO31" s="635"/>
      <c r="GP31" s="635"/>
      <c r="GQ31" s="635"/>
      <c r="GR31" s="635"/>
      <c r="GS31" s="635"/>
      <c r="GT31" s="635"/>
      <c r="GU31" s="635"/>
      <c r="GV31" s="635"/>
      <c r="GW31" s="635"/>
      <c r="GX31" s="635"/>
      <c r="GY31" s="635"/>
      <c r="GZ31" s="635"/>
      <c r="HA31" s="635"/>
      <c r="HB31" s="635"/>
      <c r="HC31" s="635"/>
      <c r="HD31" s="635"/>
      <c r="HE31" s="635"/>
      <c r="HF31" s="635"/>
      <c r="HG31" s="635"/>
      <c r="HH31" s="635"/>
      <c r="HI31" s="635"/>
      <c r="HJ31" s="635"/>
      <c r="HK31" s="635"/>
      <c r="HL31" s="635"/>
      <c r="HM31" s="635"/>
      <c r="HN31" s="635"/>
      <c r="HO31" s="635"/>
      <c r="HP31" s="635"/>
      <c r="HQ31" s="635"/>
      <c r="HR31" s="635"/>
      <c r="HS31" s="635"/>
      <c r="HT31" s="635"/>
      <c r="HU31" s="635"/>
      <c r="HV31" s="635"/>
      <c r="HW31" s="635"/>
      <c r="HX31" s="635"/>
      <c r="HY31" s="635"/>
      <c r="HZ31" s="635"/>
      <c r="IA31" s="635"/>
      <c r="IB31" s="635"/>
      <c r="IC31" s="635"/>
      <c r="ID31" s="635"/>
      <c r="IE31" s="635"/>
      <c r="IF31" s="635"/>
      <c r="IG31" s="635"/>
      <c r="IH31" s="635"/>
      <c r="II31" s="635"/>
      <c r="IJ31" s="635"/>
      <c r="IK31" s="635"/>
      <c r="IL31" s="635"/>
      <c r="IM31" s="635"/>
      <c r="IN31" s="635"/>
      <c r="IO31" s="635"/>
      <c r="IP31" s="635"/>
      <c r="IQ31" s="635"/>
      <c r="IR31" s="635"/>
      <c r="IS31" s="635"/>
      <c r="IT31" s="635"/>
      <c r="IU31" s="635"/>
      <c r="IV31" s="635"/>
      <c r="IW31" s="635"/>
    </row>
    <row r="32" customFormat="false" ht="12.75" hidden="false" customHeight="false" outlineLevel="0" collapsed="false">
      <c r="A32" s="649"/>
      <c r="B32" s="112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647"/>
      <c r="AQ32" s="648" t="n">
        <f aca="false">AQ31+1</f>
        <v>26</v>
      </c>
      <c r="AR32" s="635"/>
      <c r="AS32" s="635"/>
      <c r="AT32" s="635"/>
      <c r="AU32" s="635"/>
      <c r="AV32" s="635"/>
      <c r="AW32" s="635"/>
      <c r="AX32" s="635"/>
      <c r="AY32" s="635"/>
      <c r="AZ32" s="635"/>
      <c r="BA32" s="635"/>
      <c r="BB32" s="635"/>
      <c r="BC32" s="635"/>
      <c r="BD32" s="635"/>
      <c r="BE32" s="635"/>
      <c r="BF32" s="635"/>
      <c r="BG32" s="635"/>
      <c r="BH32" s="635"/>
      <c r="BI32" s="635"/>
      <c r="BJ32" s="635"/>
      <c r="BK32" s="635"/>
      <c r="BL32" s="635"/>
      <c r="BM32" s="635"/>
      <c r="BN32" s="635"/>
      <c r="BO32" s="635"/>
      <c r="BP32" s="635"/>
      <c r="BQ32" s="635"/>
      <c r="BR32" s="635"/>
      <c r="BS32" s="635"/>
      <c r="BT32" s="635"/>
      <c r="BU32" s="635"/>
      <c r="BV32" s="635"/>
      <c r="BW32" s="635"/>
      <c r="BX32" s="635"/>
      <c r="BY32" s="635"/>
      <c r="BZ32" s="635"/>
      <c r="CA32" s="635"/>
      <c r="CB32" s="635"/>
      <c r="CC32" s="635"/>
      <c r="CD32" s="635"/>
      <c r="CE32" s="635"/>
      <c r="CF32" s="635"/>
      <c r="CG32" s="635"/>
      <c r="CH32" s="635"/>
      <c r="CI32" s="635"/>
      <c r="CJ32" s="635"/>
      <c r="CK32" s="635"/>
      <c r="CL32" s="635"/>
      <c r="CM32" s="635"/>
      <c r="CN32" s="635"/>
      <c r="CO32" s="635"/>
      <c r="CP32" s="635"/>
      <c r="CQ32" s="635"/>
      <c r="CR32" s="635"/>
      <c r="CS32" s="635"/>
      <c r="CT32" s="635"/>
      <c r="CU32" s="635"/>
      <c r="CV32" s="635"/>
      <c r="CW32" s="635"/>
      <c r="CX32" s="635"/>
      <c r="CY32" s="635"/>
      <c r="CZ32" s="635"/>
      <c r="DA32" s="635"/>
      <c r="DB32" s="635"/>
      <c r="DC32" s="635"/>
      <c r="DD32" s="635"/>
      <c r="DE32" s="635"/>
      <c r="DF32" s="635"/>
      <c r="DG32" s="635"/>
      <c r="DH32" s="635"/>
      <c r="DI32" s="635"/>
      <c r="DJ32" s="635"/>
      <c r="DK32" s="635"/>
      <c r="DL32" s="635"/>
      <c r="DM32" s="635"/>
      <c r="DN32" s="635"/>
      <c r="DO32" s="635"/>
      <c r="DP32" s="635"/>
      <c r="DQ32" s="635"/>
      <c r="DR32" s="635"/>
      <c r="DS32" s="635"/>
      <c r="DT32" s="635"/>
      <c r="DU32" s="635"/>
      <c r="DV32" s="635"/>
      <c r="DW32" s="635"/>
      <c r="DX32" s="635"/>
      <c r="DY32" s="635"/>
      <c r="DZ32" s="635"/>
      <c r="EA32" s="635"/>
      <c r="EB32" s="635"/>
      <c r="EC32" s="635"/>
      <c r="ED32" s="635"/>
      <c r="EE32" s="635"/>
      <c r="EF32" s="635"/>
      <c r="EG32" s="635"/>
      <c r="EH32" s="635"/>
      <c r="EI32" s="635"/>
      <c r="EJ32" s="635"/>
      <c r="EK32" s="635"/>
      <c r="EL32" s="635"/>
      <c r="EM32" s="635"/>
      <c r="EN32" s="635"/>
      <c r="EO32" s="635"/>
      <c r="EP32" s="635"/>
      <c r="EQ32" s="635"/>
      <c r="ER32" s="635"/>
      <c r="ES32" s="635"/>
      <c r="ET32" s="635"/>
      <c r="EU32" s="635"/>
      <c r="EV32" s="635"/>
      <c r="EW32" s="635"/>
      <c r="EX32" s="635"/>
      <c r="EY32" s="635"/>
      <c r="EZ32" s="635"/>
      <c r="FA32" s="635"/>
      <c r="FB32" s="635"/>
      <c r="FC32" s="635"/>
      <c r="FD32" s="635"/>
      <c r="FE32" s="635"/>
      <c r="FF32" s="635"/>
      <c r="FG32" s="635"/>
      <c r="FH32" s="635"/>
      <c r="FI32" s="635"/>
      <c r="FJ32" s="635"/>
      <c r="FK32" s="635"/>
      <c r="FL32" s="635"/>
      <c r="FM32" s="635"/>
      <c r="FN32" s="635"/>
      <c r="FO32" s="635"/>
      <c r="FP32" s="635"/>
      <c r="FQ32" s="635"/>
      <c r="FR32" s="635"/>
      <c r="FS32" s="635"/>
      <c r="FT32" s="635"/>
      <c r="FU32" s="635"/>
      <c r="FV32" s="635"/>
      <c r="FW32" s="635"/>
      <c r="FX32" s="635"/>
      <c r="FY32" s="635"/>
      <c r="FZ32" s="635"/>
      <c r="GA32" s="635"/>
      <c r="GB32" s="635"/>
      <c r="GC32" s="635"/>
      <c r="GD32" s="635"/>
      <c r="GE32" s="635"/>
      <c r="GF32" s="635"/>
      <c r="GG32" s="635"/>
      <c r="GH32" s="635"/>
      <c r="GI32" s="635"/>
      <c r="GJ32" s="635"/>
      <c r="GK32" s="635"/>
      <c r="GL32" s="635"/>
      <c r="GM32" s="635"/>
      <c r="GN32" s="635"/>
      <c r="GO32" s="635"/>
      <c r="GP32" s="635"/>
      <c r="GQ32" s="635"/>
      <c r="GR32" s="635"/>
      <c r="GS32" s="635"/>
      <c r="GT32" s="635"/>
      <c r="GU32" s="635"/>
      <c r="GV32" s="635"/>
      <c r="GW32" s="635"/>
      <c r="GX32" s="635"/>
      <c r="GY32" s="635"/>
      <c r="GZ32" s="635"/>
      <c r="HA32" s="635"/>
      <c r="HB32" s="635"/>
      <c r="HC32" s="635"/>
      <c r="HD32" s="635"/>
      <c r="HE32" s="635"/>
      <c r="HF32" s="635"/>
      <c r="HG32" s="635"/>
      <c r="HH32" s="635"/>
      <c r="HI32" s="635"/>
      <c r="HJ32" s="635"/>
      <c r="HK32" s="635"/>
      <c r="HL32" s="635"/>
      <c r="HM32" s="635"/>
      <c r="HN32" s="635"/>
      <c r="HO32" s="635"/>
      <c r="HP32" s="635"/>
      <c r="HQ32" s="635"/>
      <c r="HR32" s="635"/>
      <c r="HS32" s="635"/>
      <c r="HT32" s="635"/>
      <c r="HU32" s="635"/>
      <c r="HV32" s="635"/>
      <c r="HW32" s="635"/>
      <c r="HX32" s="635"/>
      <c r="HY32" s="635"/>
      <c r="HZ32" s="635"/>
      <c r="IA32" s="635"/>
      <c r="IB32" s="635"/>
      <c r="IC32" s="635"/>
      <c r="ID32" s="635"/>
      <c r="IE32" s="635"/>
      <c r="IF32" s="635"/>
      <c r="IG32" s="635"/>
      <c r="IH32" s="635"/>
      <c r="II32" s="635"/>
      <c r="IJ32" s="635"/>
      <c r="IK32" s="635"/>
      <c r="IL32" s="635"/>
      <c r="IM32" s="635"/>
      <c r="IN32" s="635"/>
      <c r="IO32" s="635"/>
      <c r="IP32" s="635"/>
      <c r="IQ32" s="635"/>
      <c r="IR32" s="635"/>
      <c r="IS32" s="635"/>
      <c r="IT32" s="635"/>
      <c r="IU32" s="635"/>
      <c r="IV32" s="635"/>
      <c r="IW32" s="635"/>
    </row>
    <row r="33" customFormat="false" ht="12.75" hidden="false" customHeight="false" outlineLevel="0" collapsed="false">
      <c r="A33" s="649" t="str">
        <f aca="false">Assm!N34</f>
        <v>Development Costs</v>
      </c>
      <c r="B33" s="112"/>
      <c r="C33" s="174" t="n">
        <f aca="false">Assm!R34</f>
        <v>6259.7994006</v>
      </c>
      <c r="D33" s="84"/>
      <c r="E33" s="499" t="n">
        <f aca="false">E94</f>
        <v>0</v>
      </c>
      <c r="F33" s="499" t="n">
        <f aca="false">F94</f>
        <v>0</v>
      </c>
      <c r="G33" s="499" t="n">
        <f aca="false">G94</f>
        <v>0</v>
      </c>
      <c r="H33" s="499" t="n">
        <f aca="false">H94</f>
        <v>0</v>
      </c>
      <c r="I33" s="499" t="n">
        <f aca="false">I94</f>
        <v>0</v>
      </c>
      <c r="J33" s="499" t="n">
        <f aca="false">J94</f>
        <v>0</v>
      </c>
      <c r="K33" s="499" t="n">
        <f aca="false">K94</f>
        <v>0</v>
      </c>
      <c r="L33" s="499" t="n">
        <f aca="false">L94</f>
        <v>0</v>
      </c>
      <c r="M33" s="499" t="n">
        <f aca="false">M94</f>
        <v>98.5638285524789</v>
      </c>
      <c r="N33" s="499" t="n">
        <f aca="false">N94</f>
        <v>0</v>
      </c>
      <c r="O33" s="499" t="n">
        <f aca="false">O94</f>
        <v>40.2164858581945</v>
      </c>
      <c r="P33" s="499" t="n">
        <f aca="false">P94</f>
        <v>406.169376391982</v>
      </c>
      <c r="Q33" s="499" t="n">
        <f aca="false">Q94</f>
        <v>226.954302670623</v>
      </c>
      <c r="R33" s="499" t="n">
        <f aca="false">R94</f>
        <v>64.8486078886311</v>
      </c>
      <c r="S33" s="499" t="n">
        <f aca="false">S94</f>
        <v>136.303107216026</v>
      </c>
      <c r="T33" s="499" t="n">
        <f aca="false">T94</f>
        <v>208.701928374656</v>
      </c>
      <c r="U33" s="499" t="n">
        <f aca="false">U94</f>
        <v>1088.42998068793</v>
      </c>
      <c r="V33" s="499" t="n">
        <f aca="false">V94</f>
        <v>327.922280601363</v>
      </c>
      <c r="W33" s="499" t="n">
        <f aca="false">W94</f>
        <v>520.274961597542</v>
      </c>
      <c r="X33" s="499" t="n">
        <f aca="false">X94</f>
        <v>445.720081135903</v>
      </c>
      <c r="Y33" s="156" t="n">
        <v>0</v>
      </c>
      <c r="Z33" s="156" t="n">
        <v>0</v>
      </c>
      <c r="AA33" s="156" t="n">
        <v>0</v>
      </c>
      <c r="AB33" s="156" t="n">
        <v>0</v>
      </c>
      <c r="AC33" s="156" t="n">
        <v>0</v>
      </c>
      <c r="AD33" s="156" t="n">
        <v>0</v>
      </c>
      <c r="AE33" s="156" t="n">
        <v>0</v>
      </c>
      <c r="AF33" s="650" t="n">
        <f aca="false">$C$36-SUM($E33:AE33)</f>
        <v>3568.59445962467</v>
      </c>
      <c r="AG33" s="156" t="n">
        <v>0</v>
      </c>
      <c r="AH33" s="156" t="n">
        <v>0</v>
      </c>
      <c r="AI33" s="156" t="n">
        <v>0</v>
      </c>
      <c r="AJ33" s="156" t="n">
        <v>0</v>
      </c>
      <c r="AK33" s="156" t="n">
        <v>0</v>
      </c>
      <c r="AL33" s="156" t="n">
        <v>0</v>
      </c>
      <c r="AM33" s="156" t="n">
        <v>0</v>
      </c>
      <c r="AN33" s="156" t="n">
        <v>0</v>
      </c>
      <c r="AO33" s="84"/>
      <c r="AP33" s="482" t="n">
        <f aca="false">SUM(E33:AO33)</f>
        <v>7132.6994006</v>
      </c>
      <c r="AQ33" s="648" t="n">
        <f aca="false">AQ32+1</f>
        <v>27</v>
      </c>
      <c r="AR33" s="635"/>
      <c r="AS33" s="635"/>
      <c r="AT33" s="635"/>
      <c r="AU33" s="635"/>
      <c r="AV33" s="635"/>
      <c r="AW33" s="635"/>
      <c r="AX33" s="635"/>
      <c r="AY33" s="635"/>
      <c r="AZ33" s="635"/>
      <c r="BA33" s="635"/>
      <c r="BB33" s="635"/>
      <c r="BC33" s="635"/>
      <c r="BD33" s="635"/>
      <c r="BE33" s="635"/>
      <c r="BF33" s="635"/>
      <c r="BG33" s="635"/>
      <c r="BH33" s="635"/>
      <c r="BI33" s="635"/>
      <c r="BJ33" s="635"/>
      <c r="BK33" s="635"/>
      <c r="BL33" s="635"/>
      <c r="BM33" s="635"/>
      <c r="BN33" s="635"/>
      <c r="BO33" s="635"/>
      <c r="BP33" s="635"/>
      <c r="BQ33" s="635"/>
      <c r="BR33" s="635"/>
      <c r="BS33" s="635"/>
      <c r="BT33" s="635"/>
      <c r="BU33" s="635"/>
      <c r="BV33" s="635"/>
      <c r="BW33" s="635"/>
      <c r="BX33" s="635"/>
      <c r="BY33" s="635"/>
      <c r="BZ33" s="635"/>
      <c r="CA33" s="635"/>
      <c r="CB33" s="635"/>
      <c r="CC33" s="635"/>
      <c r="CD33" s="635"/>
      <c r="CE33" s="635"/>
      <c r="CF33" s="635"/>
      <c r="CG33" s="635"/>
      <c r="CH33" s="635"/>
      <c r="CI33" s="635"/>
      <c r="CJ33" s="635"/>
      <c r="CK33" s="635"/>
      <c r="CL33" s="635"/>
      <c r="CM33" s="635"/>
      <c r="CN33" s="635"/>
      <c r="CO33" s="635"/>
      <c r="CP33" s="635"/>
      <c r="CQ33" s="635"/>
      <c r="CR33" s="635"/>
      <c r="CS33" s="635"/>
      <c r="CT33" s="635"/>
      <c r="CU33" s="635"/>
      <c r="CV33" s="635"/>
      <c r="CW33" s="635"/>
      <c r="CX33" s="635"/>
      <c r="CY33" s="635"/>
      <c r="CZ33" s="635"/>
      <c r="DA33" s="635"/>
      <c r="DB33" s="635"/>
      <c r="DC33" s="635"/>
      <c r="DD33" s="635"/>
      <c r="DE33" s="635"/>
      <c r="DF33" s="635"/>
      <c r="DG33" s="635"/>
      <c r="DH33" s="635"/>
      <c r="DI33" s="635"/>
      <c r="DJ33" s="635"/>
      <c r="DK33" s="635"/>
      <c r="DL33" s="635"/>
      <c r="DM33" s="635"/>
      <c r="DN33" s="635"/>
      <c r="DO33" s="635"/>
      <c r="DP33" s="635"/>
      <c r="DQ33" s="635"/>
      <c r="DR33" s="635"/>
      <c r="DS33" s="635"/>
      <c r="DT33" s="635"/>
      <c r="DU33" s="635"/>
      <c r="DV33" s="635"/>
      <c r="DW33" s="635"/>
      <c r="DX33" s="635"/>
      <c r="DY33" s="635"/>
      <c r="DZ33" s="635"/>
      <c r="EA33" s="635"/>
      <c r="EB33" s="635"/>
      <c r="EC33" s="635"/>
      <c r="ED33" s="635"/>
      <c r="EE33" s="635"/>
      <c r="EF33" s="635"/>
      <c r="EG33" s="635"/>
      <c r="EH33" s="635"/>
      <c r="EI33" s="635"/>
      <c r="EJ33" s="635"/>
      <c r="EK33" s="635"/>
      <c r="EL33" s="635"/>
      <c r="EM33" s="635"/>
      <c r="EN33" s="635"/>
      <c r="EO33" s="635"/>
      <c r="EP33" s="635"/>
      <c r="EQ33" s="635"/>
      <c r="ER33" s="635"/>
      <c r="ES33" s="635"/>
      <c r="ET33" s="635"/>
      <c r="EU33" s="635"/>
      <c r="EV33" s="635"/>
      <c r="EW33" s="635"/>
      <c r="EX33" s="635"/>
      <c r="EY33" s="635"/>
      <c r="EZ33" s="635"/>
      <c r="FA33" s="635"/>
      <c r="FB33" s="635"/>
      <c r="FC33" s="635"/>
      <c r="FD33" s="635"/>
      <c r="FE33" s="635"/>
      <c r="FF33" s="635"/>
      <c r="FG33" s="635"/>
      <c r="FH33" s="635"/>
      <c r="FI33" s="635"/>
      <c r="FJ33" s="635"/>
      <c r="FK33" s="635"/>
      <c r="FL33" s="635"/>
      <c r="FM33" s="635"/>
      <c r="FN33" s="635"/>
      <c r="FO33" s="635"/>
      <c r="FP33" s="635"/>
      <c r="FQ33" s="635"/>
      <c r="FR33" s="635"/>
      <c r="FS33" s="635"/>
      <c r="FT33" s="635"/>
      <c r="FU33" s="635"/>
      <c r="FV33" s="635"/>
      <c r="FW33" s="635"/>
      <c r="FX33" s="635"/>
      <c r="FY33" s="635"/>
      <c r="FZ33" s="635"/>
      <c r="GA33" s="635"/>
      <c r="GB33" s="635"/>
      <c r="GC33" s="635"/>
      <c r="GD33" s="635"/>
      <c r="GE33" s="635"/>
      <c r="GF33" s="635"/>
      <c r="GG33" s="635"/>
      <c r="GH33" s="635"/>
      <c r="GI33" s="635"/>
      <c r="GJ33" s="635"/>
      <c r="GK33" s="635"/>
      <c r="GL33" s="635"/>
      <c r="GM33" s="635"/>
      <c r="GN33" s="635"/>
      <c r="GO33" s="635"/>
      <c r="GP33" s="635"/>
      <c r="GQ33" s="635"/>
      <c r="GR33" s="635"/>
      <c r="GS33" s="635"/>
      <c r="GT33" s="635"/>
      <c r="GU33" s="635"/>
      <c r="GV33" s="635"/>
      <c r="GW33" s="635"/>
      <c r="GX33" s="635"/>
      <c r="GY33" s="635"/>
      <c r="GZ33" s="635"/>
      <c r="HA33" s="635"/>
      <c r="HB33" s="635"/>
      <c r="HC33" s="635"/>
      <c r="HD33" s="635"/>
      <c r="HE33" s="635"/>
      <c r="HF33" s="635"/>
      <c r="HG33" s="635"/>
      <c r="HH33" s="635"/>
      <c r="HI33" s="635"/>
      <c r="HJ33" s="635"/>
      <c r="HK33" s="635"/>
      <c r="HL33" s="635"/>
      <c r="HM33" s="635"/>
      <c r="HN33" s="635"/>
      <c r="HO33" s="635"/>
      <c r="HP33" s="635"/>
      <c r="HQ33" s="635"/>
      <c r="HR33" s="635"/>
      <c r="HS33" s="635"/>
      <c r="HT33" s="635"/>
      <c r="HU33" s="635"/>
      <c r="HV33" s="635"/>
      <c r="HW33" s="635"/>
      <c r="HX33" s="635"/>
      <c r="HY33" s="635"/>
      <c r="HZ33" s="635"/>
      <c r="IA33" s="635"/>
      <c r="IB33" s="635"/>
      <c r="IC33" s="635"/>
      <c r="ID33" s="635"/>
      <c r="IE33" s="635"/>
      <c r="IF33" s="635"/>
      <c r="IG33" s="635"/>
      <c r="IH33" s="635"/>
      <c r="II33" s="635"/>
      <c r="IJ33" s="635"/>
      <c r="IK33" s="635"/>
      <c r="IL33" s="635"/>
      <c r="IM33" s="635"/>
      <c r="IN33" s="635"/>
      <c r="IO33" s="635"/>
      <c r="IP33" s="635"/>
      <c r="IQ33" s="635"/>
      <c r="IR33" s="635"/>
      <c r="IS33" s="635"/>
      <c r="IT33" s="635"/>
      <c r="IU33" s="635"/>
      <c r="IV33" s="635"/>
      <c r="IW33" s="635"/>
    </row>
    <row r="34" customFormat="false" ht="12.75" hidden="false" customHeight="false" outlineLevel="0" collapsed="false">
      <c r="A34" s="649" t="str">
        <f aca="false">Assm!N35</f>
        <v>Development Fee</v>
      </c>
      <c r="B34" s="112"/>
      <c r="C34" s="174" t="n">
        <f aca="false">Assm!R35</f>
        <v>0</v>
      </c>
      <c r="D34" s="84"/>
      <c r="E34" s="156" t="n">
        <v>0</v>
      </c>
      <c r="F34" s="156" t="n">
        <v>0</v>
      </c>
      <c r="G34" s="156" t="n">
        <v>0</v>
      </c>
      <c r="H34" s="156" t="n">
        <v>0</v>
      </c>
      <c r="I34" s="156" t="n">
        <v>0</v>
      </c>
      <c r="J34" s="156" t="n">
        <v>0</v>
      </c>
      <c r="K34" s="156" t="n">
        <v>0</v>
      </c>
      <c r="L34" s="156" t="n">
        <v>0</v>
      </c>
      <c r="M34" s="156" t="n">
        <v>0</v>
      </c>
      <c r="N34" s="156" t="n">
        <v>0</v>
      </c>
      <c r="O34" s="156" t="n">
        <v>0</v>
      </c>
      <c r="P34" s="156" t="n">
        <v>0</v>
      </c>
      <c r="Q34" s="156" t="n">
        <v>0</v>
      </c>
      <c r="R34" s="156" t="n">
        <v>0</v>
      </c>
      <c r="S34" s="156" t="n">
        <v>0</v>
      </c>
      <c r="T34" s="156" t="n">
        <v>0</v>
      </c>
      <c r="U34" s="156" t="n">
        <v>0</v>
      </c>
      <c r="V34" s="156" t="n">
        <v>0</v>
      </c>
      <c r="W34" s="156" t="n">
        <v>0</v>
      </c>
      <c r="X34" s="156" t="n">
        <v>0</v>
      </c>
      <c r="Y34" s="156" t="n">
        <v>0</v>
      </c>
      <c r="Z34" s="156" t="n">
        <v>0</v>
      </c>
      <c r="AA34" s="156" t="n">
        <v>0</v>
      </c>
      <c r="AB34" s="156" t="n">
        <v>0</v>
      </c>
      <c r="AC34" s="156" t="n">
        <v>0</v>
      </c>
      <c r="AD34" s="156" t="n">
        <v>0</v>
      </c>
      <c r="AE34" s="156" t="n">
        <v>0</v>
      </c>
      <c r="AF34" s="156" t="n">
        <v>0</v>
      </c>
      <c r="AG34" s="156" t="n">
        <v>0</v>
      </c>
      <c r="AH34" s="156" t="n">
        <v>0</v>
      </c>
      <c r="AI34" s="156" t="n">
        <v>0</v>
      </c>
      <c r="AJ34" s="156" t="n">
        <v>0</v>
      </c>
      <c r="AK34" s="156" t="n">
        <v>0</v>
      </c>
      <c r="AL34" s="156" t="n">
        <v>0</v>
      </c>
      <c r="AM34" s="156" t="n">
        <v>0</v>
      </c>
      <c r="AN34" s="156" t="n">
        <v>0</v>
      </c>
      <c r="AO34" s="84"/>
      <c r="AP34" s="482" t="n">
        <f aca="false">SUM(E34:AO34)</f>
        <v>0</v>
      </c>
      <c r="AQ34" s="648" t="n">
        <f aca="false">AQ33+1</f>
        <v>28</v>
      </c>
      <c r="AR34" s="635"/>
      <c r="AS34" s="635"/>
      <c r="AT34" s="635"/>
      <c r="AU34" s="635"/>
      <c r="AV34" s="635"/>
      <c r="AW34" s="635"/>
      <c r="AX34" s="635"/>
      <c r="AY34" s="635"/>
      <c r="AZ34" s="635"/>
      <c r="BA34" s="635"/>
      <c r="BB34" s="635"/>
      <c r="BC34" s="635"/>
      <c r="BD34" s="635"/>
      <c r="BE34" s="635"/>
      <c r="BF34" s="635"/>
      <c r="BG34" s="635"/>
      <c r="BH34" s="635"/>
      <c r="BI34" s="635"/>
      <c r="BJ34" s="635"/>
      <c r="BK34" s="635"/>
      <c r="BL34" s="635"/>
      <c r="BM34" s="635"/>
      <c r="BN34" s="635"/>
      <c r="BO34" s="635"/>
      <c r="BP34" s="635"/>
      <c r="BQ34" s="635"/>
      <c r="BR34" s="635"/>
      <c r="BS34" s="635"/>
      <c r="BT34" s="635"/>
      <c r="BU34" s="635"/>
      <c r="BV34" s="635"/>
      <c r="BW34" s="635"/>
      <c r="BX34" s="635"/>
      <c r="BY34" s="635"/>
      <c r="BZ34" s="635"/>
      <c r="CA34" s="635"/>
      <c r="CB34" s="635"/>
      <c r="CC34" s="635"/>
      <c r="CD34" s="635"/>
      <c r="CE34" s="635"/>
      <c r="CF34" s="635"/>
      <c r="CG34" s="635"/>
      <c r="CH34" s="635"/>
      <c r="CI34" s="635"/>
      <c r="CJ34" s="635"/>
      <c r="CK34" s="635"/>
      <c r="CL34" s="635"/>
      <c r="CM34" s="635"/>
      <c r="CN34" s="635"/>
      <c r="CO34" s="635"/>
      <c r="CP34" s="635"/>
      <c r="CQ34" s="635"/>
      <c r="CR34" s="635"/>
      <c r="CS34" s="635"/>
      <c r="CT34" s="635"/>
      <c r="CU34" s="635"/>
      <c r="CV34" s="635"/>
      <c r="CW34" s="635"/>
      <c r="CX34" s="635"/>
      <c r="CY34" s="635"/>
      <c r="CZ34" s="635"/>
      <c r="DA34" s="635"/>
      <c r="DB34" s="635"/>
      <c r="DC34" s="635"/>
      <c r="DD34" s="635"/>
      <c r="DE34" s="635"/>
      <c r="DF34" s="635"/>
      <c r="DG34" s="635"/>
      <c r="DH34" s="635"/>
      <c r="DI34" s="635"/>
      <c r="DJ34" s="635"/>
      <c r="DK34" s="635"/>
      <c r="DL34" s="635"/>
      <c r="DM34" s="635"/>
      <c r="DN34" s="635"/>
      <c r="DO34" s="635"/>
      <c r="DP34" s="635"/>
      <c r="DQ34" s="635"/>
      <c r="DR34" s="635"/>
      <c r="DS34" s="635"/>
      <c r="DT34" s="635"/>
      <c r="DU34" s="635"/>
      <c r="DV34" s="635"/>
      <c r="DW34" s="635"/>
      <c r="DX34" s="635"/>
      <c r="DY34" s="635"/>
      <c r="DZ34" s="635"/>
      <c r="EA34" s="635"/>
      <c r="EB34" s="635"/>
      <c r="EC34" s="635"/>
      <c r="ED34" s="635"/>
      <c r="EE34" s="635"/>
      <c r="EF34" s="635"/>
      <c r="EG34" s="635"/>
      <c r="EH34" s="635"/>
      <c r="EI34" s="635"/>
      <c r="EJ34" s="635"/>
      <c r="EK34" s="635"/>
      <c r="EL34" s="635"/>
      <c r="EM34" s="635"/>
      <c r="EN34" s="635"/>
      <c r="EO34" s="635"/>
      <c r="EP34" s="635"/>
      <c r="EQ34" s="635"/>
      <c r="ER34" s="635"/>
      <c r="ES34" s="635"/>
      <c r="ET34" s="635"/>
      <c r="EU34" s="635"/>
      <c r="EV34" s="635"/>
      <c r="EW34" s="635"/>
      <c r="EX34" s="635"/>
      <c r="EY34" s="635"/>
      <c r="EZ34" s="635"/>
      <c r="FA34" s="635"/>
      <c r="FB34" s="635"/>
      <c r="FC34" s="635"/>
      <c r="FD34" s="635"/>
      <c r="FE34" s="635"/>
      <c r="FF34" s="635"/>
      <c r="FG34" s="635"/>
      <c r="FH34" s="635"/>
      <c r="FI34" s="635"/>
      <c r="FJ34" s="635"/>
      <c r="FK34" s="635"/>
      <c r="FL34" s="635"/>
      <c r="FM34" s="635"/>
      <c r="FN34" s="635"/>
      <c r="FO34" s="635"/>
      <c r="FP34" s="635"/>
      <c r="FQ34" s="635"/>
      <c r="FR34" s="635"/>
      <c r="FS34" s="635"/>
      <c r="FT34" s="635"/>
      <c r="FU34" s="635"/>
      <c r="FV34" s="635"/>
      <c r="FW34" s="635"/>
      <c r="FX34" s="635"/>
      <c r="FY34" s="635"/>
      <c r="FZ34" s="635"/>
      <c r="GA34" s="635"/>
      <c r="GB34" s="635"/>
      <c r="GC34" s="635"/>
      <c r="GD34" s="635"/>
      <c r="GE34" s="635"/>
      <c r="GF34" s="635"/>
      <c r="GG34" s="635"/>
      <c r="GH34" s="635"/>
      <c r="GI34" s="635"/>
      <c r="GJ34" s="635"/>
      <c r="GK34" s="635"/>
      <c r="GL34" s="635"/>
      <c r="GM34" s="635"/>
      <c r="GN34" s="635"/>
      <c r="GO34" s="635"/>
      <c r="GP34" s="635"/>
      <c r="GQ34" s="635"/>
      <c r="GR34" s="635"/>
      <c r="GS34" s="635"/>
      <c r="GT34" s="635"/>
      <c r="GU34" s="635"/>
      <c r="GV34" s="635"/>
      <c r="GW34" s="635"/>
      <c r="GX34" s="635"/>
      <c r="GY34" s="635"/>
      <c r="GZ34" s="635"/>
      <c r="HA34" s="635"/>
      <c r="HB34" s="635"/>
      <c r="HC34" s="635"/>
      <c r="HD34" s="635"/>
      <c r="HE34" s="635"/>
      <c r="HF34" s="635"/>
      <c r="HG34" s="635"/>
      <c r="HH34" s="635"/>
      <c r="HI34" s="635"/>
      <c r="HJ34" s="635"/>
      <c r="HK34" s="635"/>
      <c r="HL34" s="635"/>
      <c r="HM34" s="635"/>
      <c r="HN34" s="635"/>
      <c r="HO34" s="635"/>
      <c r="HP34" s="635"/>
      <c r="HQ34" s="635"/>
      <c r="HR34" s="635"/>
      <c r="HS34" s="635"/>
      <c r="HT34" s="635"/>
      <c r="HU34" s="635"/>
      <c r="HV34" s="635"/>
      <c r="HW34" s="635"/>
      <c r="HX34" s="635"/>
      <c r="HY34" s="635"/>
      <c r="HZ34" s="635"/>
      <c r="IA34" s="635"/>
      <c r="IB34" s="635"/>
      <c r="IC34" s="635"/>
      <c r="ID34" s="635"/>
      <c r="IE34" s="635"/>
      <c r="IF34" s="635"/>
      <c r="IG34" s="635"/>
      <c r="IH34" s="635"/>
      <c r="II34" s="635"/>
      <c r="IJ34" s="635"/>
      <c r="IK34" s="635"/>
      <c r="IL34" s="635"/>
      <c r="IM34" s="635"/>
      <c r="IN34" s="635"/>
      <c r="IO34" s="635"/>
      <c r="IP34" s="635"/>
      <c r="IQ34" s="635"/>
      <c r="IR34" s="635"/>
      <c r="IS34" s="635"/>
      <c r="IT34" s="635"/>
      <c r="IU34" s="635"/>
      <c r="IV34" s="635"/>
      <c r="IW34" s="635"/>
    </row>
    <row r="35" customFormat="false" ht="12.75" hidden="false" customHeight="false" outlineLevel="0" collapsed="false">
      <c r="A35" s="649" t="str">
        <f aca="false">Assm!N36</f>
        <v>Operations Mobilization</v>
      </c>
      <c r="B35" s="112"/>
      <c r="C35" s="484" t="n">
        <f aca="false">Assm!R36</f>
        <v>872.9</v>
      </c>
      <c r="D35" s="651"/>
      <c r="E35" s="177" t="n">
        <v>0</v>
      </c>
      <c r="F35" s="177" t="n">
        <v>0</v>
      </c>
      <c r="G35" s="177" t="n">
        <v>0</v>
      </c>
      <c r="H35" s="177" t="n">
        <v>0</v>
      </c>
      <c r="I35" s="177" t="n">
        <v>0</v>
      </c>
      <c r="J35" s="177" t="n">
        <v>0</v>
      </c>
      <c r="K35" s="177" t="n">
        <v>0</v>
      </c>
      <c r="L35" s="177" t="n">
        <v>0</v>
      </c>
      <c r="M35" s="177" t="n">
        <v>0</v>
      </c>
      <c r="N35" s="177" t="n">
        <v>0</v>
      </c>
      <c r="O35" s="177" t="n">
        <v>0</v>
      </c>
      <c r="P35" s="177" t="n">
        <v>0</v>
      </c>
      <c r="Q35" s="177" t="n">
        <v>0</v>
      </c>
      <c r="R35" s="177" t="n">
        <v>0</v>
      </c>
      <c r="S35" s="177" t="n">
        <v>0</v>
      </c>
      <c r="T35" s="177" t="n">
        <v>0</v>
      </c>
      <c r="U35" s="177" t="n">
        <v>0</v>
      </c>
      <c r="V35" s="177" t="n">
        <v>0</v>
      </c>
      <c r="W35" s="177" t="n">
        <v>0</v>
      </c>
      <c r="X35" s="177" t="n">
        <v>0</v>
      </c>
      <c r="Y35" s="177" t="n">
        <v>0</v>
      </c>
      <c r="Z35" s="177" t="n">
        <v>0</v>
      </c>
      <c r="AA35" s="177" t="n">
        <v>0</v>
      </c>
      <c r="AB35" s="177" t="n">
        <v>0</v>
      </c>
      <c r="AC35" s="177" t="n">
        <v>0</v>
      </c>
      <c r="AD35" s="177" t="n">
        <v>0</v>
      </c>
      <c r="AE35" s="177" t="n">
        <v>0</v>
      </c>
      <c r="AF35" s="177" t="n">
        <v>0</v>
      </c>
      <c r="AG35" s="177" t="n">
        <v>0</v>
      </c>
      <c r="AH35" s="177" t="n">
        <v>0</v>
      </c>
      <c r="AI35" s="177" t="n">
        <v>0</v>
      </c>
      <c r="AJ35" s="177" t="n">
        <v>0</v>
      </c>
      <c r="AK35" s="177" t="n">
        <v>0</v>
      </c>
      <c r="AL35" s="177" t="n">
        <v>0</v>
      </c>
      <c r="AM35" s="177" t="n">
        <v>0</v>
      </c>
      <c r="AN35" s="177" t="n">
        <v>0</v>
      </c>
      <c r="AO35" s="651"/>
      <c r="AP35" s="485" t="n">
        <f aca="false">SUM(E35:AO35)</f>
        <v>0</v>
      </c>
      <c r="AQ35" s="648" t="n">
        <f aca="false">AQ34+1</f>
        <v>29</v>
      </c>
      <c r="AR35" s="635"/>
      <c r="AS35" s="635"/>
      <c r="AT35" s="635"/>
      <c r="AU35" s="635"/>
      <c r="AV35" s="635"/>
      <c r="AW35" s="635"/>
      <c r="AX35" s="635"/>
      <c r="AY35" s="635"/>
      <c r="AZ35" s="635"/>
      <c r="BA35" s="635"/>
      <c r="BB35" s="635"/>
      <c r="BC35" s="635"/>
      <c r="BD35" s="635"/>
      <c r="BE35" s="635"/>
      <c r="BF35" s="635"/>
      <c r="BG35" s="635"/>
      <c r="BH35" s="635"/>
      <c r="BI35" s="635"/>
      <c r="BJ35" s="635"/>
      <c r="BK35" s="635"/>
      <c r="BL35" s="635"/>
      <c r="BM35" s="635"/>
      <c r="BN35" s="635"/>
      <c r="BO35" s="635"/>
      <c r="BP35" s="635"/>
      <c r="BQ35" s="635"/>
      <c r="BR35" s="635"/>
      <c r="BS35" s="635"/>
      <c r="BT35" s="635"/>
      <c r="BU35" s="635"/>
      <c r="BV35" s="635"/>
      <c r="BW35" s="635"/>
      <c r="BX35" s="635"/>
      <c r="BY35" s="635"/>
      <c r="BZ35" s="635"/>
      <c r="CA35" s="635"/>
      <c r="CB35" s="635"/>
      <c r="CC35" s="635"/>
      <c r="CD35" s="635"/>
      <c r="CE35" s="635"/>
      <c r="CF35" s="635"/>
      <c r="CG35" s="635"/>
      <c r="CH35" s="635"/>
      <c r="CI35" s="635"/>
      <c r="CJ35" s="635"/>
      <c r="CK35" s="635"/>
      <c r="CL35" s="635"/>
      <c r="CM35" s="635"/>
      <c r="CN35" s="635"/>
      <c r="CO35" s="635"/>
      <c r="CP35" s="635"/>
      <c r="CQ35" s="635"/>
      <c r="CR35" s="635"/>
      <c r="CS35" s="635"/>
      <c r="CT35" s="635"/>
      <c r="CU35" s="635"/>
      <c r="CV35" s="635"/>
      <c r="CW35" s="635"/>
      <c r="CX35" s="635"/>
      <c r="CY35" s="635"/>
      <c r="CZ35" s="635"/>
      <c r="DA35" s="635"/>
      <c r="DB35" s="635"/>
      <c r="DC35" s="635"/>
      <c r="DD35" s="635"/>
      <c r="DE35" s="635"/>
      <c r="DF35" s="635"/>
      <c r="DG35" s="635"/>
      <c r="DH35" s="635"/>
      <c r="DI35" s="635"/>
      <c r="DJ35" s="635"/>
      <c r="DK35" s="635"/>
      <c r="DL35" s="635"/>
      <c r="DM35" s="635"/>
      <c r="DN35" s="635"/>
      <c r="DO35" s="635"/>
      <c r="DP35" s="635"/>
      <c r="DQ35" s="635"/>
      <c r="DR35" s="635"/>
      <c r="DS35" s="635"/>
      <c r="DT35" s="635"/>
      <c r="DU35" s="635"/>
      <c r="DV35" s="635"/>
      <c r="DW35" s="635"/>
      <c r="DX35" s="635"/>
      <c r="DY35" s="635"/>
      <c r="DZ35" s="635"/>
      <c r="EA35" s="635"/>
      <c r="EB35" s="635"/>
      <c r="EC35" s="635"/>
      <c r="ED35" s="635"/>
      <c r="EE35" s="635"/>
      <c r="EF35" s="635"/>
      <c r="EG35" s="635"/>
      <c r="EH35" s="635"/>
      <c r="EI35" s="635"/>
      <c r="EJ35" s="635"/>
      <c r="EK35" s="635"/>
      <c r="EL35" s="635"/>
      <c r="EM35" s="635"/>
      <c r="EN35" s="635"/>
      <c r="EO35" s="635"/>
      <c r="EP35" s="635"/>
      <c r="EQ35" s="635"/>
      <c r="ER35" s="635"/>
      <c r="ES35" s="635"/>
      <c r="ET35" s="635"/>
      <c r="EU35" s="635"/>
      <c r="EV35" s="635"/>
      <c r="EW35" s="635"/>
      <c r="EX35" s="635"/>
      <c r="EY35" s="635"/>
      <c r="EZ35" s="635"/>
      <c r="FA35" s="635"/>
      <c r="FB35" s="635"/>
      <c r="FC35" s="635"/>
      <c r="FD35" s="635"/>
      <c r="FE35" s="635"/>
      <c r="FF35" s="635"/>
      <c r="FG35" s="635"/>
      <c r="FH35" s="635"/>
      <c r="FI35" s="635"/>
      <c r="FJ35" s="635"/>
      <c r="FK35" s="635"/>
      <c r="FL35" s="635"/>
      <c r="FM35" s="635"/>
      <c r="FN35" s="635"/>
      <c r="FO35" s="635"/>
      <c r="FP35" s="635"/>
      <c r="FQ35" s="635"/>
      <c r="FR35" s="635"/>
      <c r="FS35" s="635"/>
      <c r="FT35" s="635"/>
      <c r="FU35" s="635"/>
      <c r="FV35" s="635"/>
      <c r="FW35" s="635"/>
      <c r="FX35" s="635"/>
      <c r="FY35" s="635"/>
      <c r="FZ35" s="635"/>
      <c r="GA35" s="635"/>
      <c r="GB35" s="635"/>
      <c r="GC35" s="635"/>
      <c r="GD35" s="635"/>
      <c r="GE35" s="635"/>
      <c r="GF35" s="635"/>
      <c r="GG35" s="635"/>
      <c r="GH35" s="635"/>
      <c r="GI35" s="635"/>
      <c r="GJ35" s="635"/>
      <c r="GK35" s="635"/>
      <c r="GL35" s="635"/>
      <c r="GM35" s="635"/>
      <c r="GN35" s="635"/>
      <c r="GO35" s="635"/>
      <c r="GP35" s="635"/>
      <c r="GQ35" s="635"/>
      <c r="GR35" s="635"/>
      <c r="GS35" s="635"/>
      <c r="GT35" s="635"/>
      <c r="GU35" s="635"/>
      <c r="GV35" s="635"/>
      <c r="GW35" s="635"/>
      <c r="GX35" s="635"/>
      <c r="GY35" s="635"/>
      <c r="GZ35" s="635"/>
      <c r="HA35" s="635"/>
      <c r="HB35" s="635"/>
      <c r="HC35" s="635"/>
      <c r="HD35" s="635"/>
      <c r="HE35" s="635"/>
      <c r="HF35" s="635"/>
      <c r="HG35" s="635"/>
      <c r="HH35" s="635"/>
      <c r="HI35" s="635"/>
      <c r="HJ35" s="635"/>
      <c r="HK35" s="635"/>
      <c r="HL35" s="635"/>
      <c r="HM35" s="635"/>
      <c r="HN35" s="635"/>
      <c r="HO35" s="635"/>
      <c r="HP35" s="635"/>
      <c r="HQ35" s="635"/>
      <c r="HR35" s="635"/>
      <c r="HS35" s="635"/>
      <c r="HT35" s="635"/>
      <c r="HU35" s="635"/>
      <c r="HV35" s="635"/>
      <c r="HW35" s="635"/>
      <c r="HX35" s="635"/>
      <c r="HY35" s="635"/>
      <c r="HZ35" s="635"/>
      <c r="IA35" s="635"/>
      <c r="IB35" s="635"/>
      <c r="IC35" s="635"/>
      <c r="ID35" s="635"/>
      <c r="IE35" s="635"/>
      <c r="IF35" s="635"/>
      <c r="IG35" s="635"/>
      <c r="IH35" s="635"/>
      <c r="II35" s="635"/>
      <c r="IJ35" s="635"/>
      <c r="IK35" s="635"/>
      <c r="IL35" s="635"/>
      <c r="IM35" s="635"/>
      <c r="IN35" s="635"/>
      <c r="IO35" s="635"/>
      <c r="IP35" s="635"/>
      <c r="IQ35" s="635"/>
      <c r="IR35" s="635"/>
      <c r="IS35" s="635"/>
      <c r="IT35" s="635"/>
      <c r="IU35" s="635"/>
      <c r="IV35" s="635"/>
      <c r="IW35" s="635"/>
    </row>
    <row r="36" customFormat="false" ht="12.75" hidden="false" customHeight="false" outlineLevel="0" collapsed="false">
      <c r="A36" s="649" t="str">
        <f aca="false">Assm!N37</f>
        <v>Total Development Costs / Fees</v>
      </c>
      <c r="B36" s="112"/>
      <c r="C36" s="174" t="n">
        <f aca="false">SUM(C33:C35)</f>
        <v>7132.6994006</v>
      </c>
      <c r="D36" s="84"/>
      <c r="E36" s="174" t="n">
        <f aca="false">SUM(E33:E35)</f>
        <v>0</v>
      </c>
      <c r="F36" s="174" t="n">
        <f aca="false">SUM(F33:F35)</f>
        <v>0</v>
      </c>
      <c r="G36" s="174" t="n">
        <f aca="false">SUM(G33:G35)</f>
        <v>0</v>
      </c>
      <c r="H36" s="174" t="n">
        <f aca="false">SUM(H33:H35)</f>
        <v>0</v>
      </c>
      <c r="I36" s="174" t="n">
        <f aca="false">SUM(I33:I35)</f>
        <v>0</v>
      </c>
      <c r="J36" s="174" t="n">
        <f aca="false">SUM(J33:J35)</f>
        <v>0</v>
      </c>
      <c r="K36" s="174" t="n">
        <f aca="false">SUM(K33:K35)</f>
        <v>0</v>
      </c>
      <c r="L36" s="174" t="n">
        <f aca="false">SUM(L33:L35)</f>
        <v>0</v>
      </c>
      <c r="M36" s="174" t="n">
        <f aca="false">SUM(M33:M35)</f>
        <v>98.5638285524789</v>
      </c>
      <c r="N36" s="174" t="n">
        <f aca="false">SUM(N33:N35)</f>
        <v>0</v>
      </c>
      <c r="O36" s="174" t="n">
        <f aca="false">SUM(O33:O35)</f>
        <v>40.2164858581945</v>
      </c>
      <c r="P36" s="174" t="n">
        <f aca="false">SUM(P33:P35)</f>
        <v>406.169376391982</v>
      </c>
      <c r="Q36" s="174" t="n">
        <f aca="false">SUM(Q33:Q35)</f>
        <v>226.954302670623</v>
      </c>
      <c r="R36" s="174" t="n">
        <f aca="false">SUM(R33:R35)</f>
        <v>64.8486078886311</v>
      </c>
      <c r="S36" s="174" t="n">
        <f aca="false">SUM(S33:S35)</f>
        <v>136.303107216026</v>
      </c>
      <c r="T36" s="174" t="n">
        <f aca="false">SUM(T33:T35)</f>
        <v>208.701928374656</v>
      </c>
      <c r="U36" s="174" t="n">
        <f aca="false">SUM(U33:U35)</f>
        <v>1088.42998068793</v>
      </c>
      <c r="V36" s="174" t="n">
        <f aca="false">SUM(V33:V35)</f>
        <v>327.922280601363</v>
      </c>
      <c r="W36" s="174" t="n">
        <f aca="false">SUM(W33:W35)</f>
        <v>520.274961597542</v>
      </c>
      <c r="X36" s="174" t="n">
        <f aca="false">SUM(X33:X35)</f>
        <v>445.720081135903</v>
      </c>
      <c r="Y36" s="174" t="n">
        <f aca="false">SUM(Y33:Y35)</f>
        <v>0</v>
      </c>
      <c r="Z36" s="174" t="n">
        <f aca="false">SUM(Z33:Z35)</f>
        <v>0</v>
      </c>
      <c r="AA36" s="174" t="n">
        <f aca="false">SUM(AA33:AA35)</f>
        <v>0</v>
      </c>
      <c r="AB36" s="174" t="n">
        <f aca="false">SUM(AB33:AB35)</f>
        <v>0</v>
      </c>
      <c r="AC36" s="174" t="n">
        <f aca="false">SUM(AC33:AC35)</f>
        <v>0</v>
      </c>
      <c r="AD36" s="174" t="n">
        <f aca="false">SUM(AD33:AD35)</f>
        <v>0</v>
      </c>
      <c r="AE36" s="174" t="n">
        <f aca="false">SUM(AE33:AE35)</f>
        <v>0</v>
      </c>
      <c r="AF36" s="174" t="n">
        <f aca="false">SUM(AF33:AF35)</f>
        <v>3568.59445962467</v>
      </c>
      <c r="AG36" s="174" t="n">
        <f aca="false">SUM(AG33:AG35)</f>
        <v>0</v>
      </c>
      <c r="AH36" s="174" t="n">
        <f aca="false">SUM(AH33:AH35)</f>
        <v>0</v>
      </c>
      <c r="AI36" s="174" t="n">
        <f aca="false">SUM(AI33:AI35)</f>
        <v>0</v>
      </c>
      <c r="AJ36" s="174" t="n">
        <f aca="false">SUM(AJ33:AJ35)</f>
        <v>0</v>
      </c>
      <c r="AK36" s="174" t="n">
        <f aca="false">SUM(AK33:AK35)</f>
        <v>0</v>
      </c>
      <c r="AL36" s="174" t="n">
        <f aca="false">SUM(AL33:AL35)</f>
        <v>0</v>
      </c>
      <c r="AM36" s="174" t="n">
        <f aca="false">SUM(AM33:AM35)</f>
        <v>0</v>
      </c>
      <c r="AN36" s="174" t="n">
        <f aca="false">SUM(AN33:AN35)</f>
        <v>0</v>
      </c>
      <c r="AO36" s="84"/>
      <c r="AP36" s="482" t="n">
        <f aca="false">SUM(E36:AO36)</f>
        <v>7132.6994006</v>
      </c>
      <c r="AQ36" s="648" t="n">
        <f aca="false">AQ35+1</f>
        <v>30</v>
      </c>
      <c r="AR36" s="635"/>
      <c r="AS36" s="635"/>
      <c r="AT36" s="635"/>
      <c r="AU36" s="635"/>
      <c r="AV36" s="635"/>
      <c r="AW36" s="635"/>
      <c r="AX36" s="635"/>
      <c r="AY36" s="635"/>
      <c r="AZ36" s="635"/>
      <c r="BA36" s="635"/>
      <c r="BB36" s="635"/>
      <c r="BC36" s="635"/>
      <c r="BD36" s="635"/>
      <c r="BE36" s="635"/>
      <c r="BF36" s="635"/>
      <c r="BG36" s="635"/>
      <c r="BH36" s="635"/>
      <c r="BI36" s="635"/>
      <c r="BJ36" s="635"/>
      <c r="BK36" s="635"/>
      <c r="BL36" s="635"/>
      <c r="BM36" s="635"/>
      <c r="BN36" s="635"/>
      <c r="BO36" s="635"/>
      <c r="BP36" s="635"/>
      <c r="BQ36" s="635"/>
      <c r="BR36" s="635"/>
      <c r="BS36" s="635"/>
      <c r="BT36" s="635"/>
      <c r="BU36" s="635"/>
      <c r="BV36" s="635"/>
      <c r="BW36" s="635"/>
      <c r="BX36" s="635"/>
      <c r="BY36" s="635"/>
      <c r="BZ36" s="635"/>
      <c r="CA36" s="635"/>
      <c r="CB36" s="635"/>
      <c r="CC36" s="635"/>
      <c r="CD36" s="635"/>
      <c r="CE36" s="635"/>
      <c r="CF36" s="635"/>
      <c r="CG36" s="635"/>
      <c r="CH36" s="635"/>
      <c r="CI36" s="635"/>
      <c r="CJ36" s="635"/>
      <c r="CK36" s="635"/>
      <c r="CL36" s="635"/>
      <c r="CM36" s="635"/>
      <c r="CN36" s="635"/>
      <c r="CO36" s="635"/>
      <c r="CP36" s="635"/>
      <c r="CQ36" s="635"/>
      <c r="CR36" s="635"/>
      <c r="CS36" s="635"/>
      <c r="CT36" s="635"/>
      <c r="CU36" s="635"/>
      <c r="CV36" s="635"/>
      <c r="CW36" s="635"/>
      <c r="CX36" s="635"/>
      <c r="CY36" s="635"/>
      <c r="CZ36" s="635"/>
      <c r="DA36" s="635"/>
      <c r="DB36" s="635"/>
      <c r="DC36" s="635"/>
      <c r="DD36" s="635"/>
      <c r="DE36" s="635"/>
      <c r="DF36" s="635"/>
      <c r="DG36" s="635"/>
      <c r="DH36" s="635"/>
      <c r="DI36" s="635"/>
      <c r="DJ36" s="635"/>
      <c r="DK36" s="635"/>
      <c r="DL36" s="635"/>
      <c r="DM36" s="635"/>
      <c r="DN36" s="635"/>
      <c r="DO36" s="635"/>
      <c r="DP36" s="635"/>
      <c r="DQ36" s="635"/>
      <c r="DR36" s="635"/>
      <c r="DS36" s="635"/>
      <c r="DT36" s="635"/>
      <c r="DU36" s="635"/>
      <c r="DV36" s="635"/>
      <c r="DW36" s="635"/>
      <c r="DX36" s="635"/>
      <c r="DY36" s="635"/>
      <c r="DZ36" s="635"/>
      <c r="EA36" s="635"/>
      <c r="EB36" s="635"/>
      <c r="EC36" s="635"/>
      <c r="ED36" s="635"/>
      <c r="EE36" s="635"/>
      <c r="EF36" s="635"/>
      <c r="EG36" s="635"/>
      <c r="EH36" s="635"/>
      <c r="EI36" s="635"/>
      <c r="EJ36" s="635"/>
      <c r="EK36" s="635"/>
      <c r="EL36" s="635"/>
      <c r="EM36" s="635"/>
      <c r="EN36" s="635"/>
      <c r="EO36" s="635"/>
      <c r="EP36" s="635"/>
      <c r="EQ36" s="635"/>
      <c r="ER36" s="635"/>
      <c r="ES36" s="635"/>
      <c r="ET36" s="635"/>
      <c r="EU36" s="635"/>
      <c r="EV36" s="635"/>
      <c r="EW36" s="635"/>
      <c r="EX36" s="635"/>
      <c r="EY36" s="635"/>
      <c r="EZ36" s="635"/>
      <c r="FA36" s="635"/>
      <c r="FB36" s="635"/>
      <c r="FC36" s="635"/>
      <c r="FD36" s="635"/>
      <c r="FE36" s="635"/>
      <c r="FF36" s="635"/>
      <c r="FG36" s="635"/>
      <c r="FH36" s="635"/>
      <c r="FI36" s="635"/>
      <c r="FJ36" s="635"/>
      <c r="FK36" s="635"/>
      <c r="FL36" s="635"/>
      <c r="FM36" s="635"/>
      <c r="FN36" s="635"/>
      <c r="FO36" s="635"/>
      <c r="FP36" s="635"/>
      <c r="FQ36" s="635"/>
      <c r="FR36" s="635"/>
      <c r="FS36" s="635"/>
      <c r="FT36" s="635"/>
      <c r="FU36" s="635"/>
      <c r="FV36" s="635"/>
      <c r="FW36" s="635"/>
      <c r="FX36" s="635"/>
      <c r="FY36" s="635"/>
      <c r="FZ36" s="635"/>
      <c r="GA36" s="635"/>
      <c r="GB36" s="635"/>
      <c r="GC36" s="635"/>
      <c r="GD36" s="635"/>
      <c r="GE36" s="635"/>
      <c r="GF36" s="635"/>
      <c r="GG36" s="635"/>
      <c r="GH36" s="635"/>
      <c r="GI36" s="635"/>
      <c r="GJ36" s="635"/>
      <c r="GK36" s="635"/>
      <c r="GL36" s="635"/>
      <c r="GM36" s="635"/>
      <c r="GN36" s="635"/>
      <c r="GO36" s="635"/>
      <c r="GP36" s="635"/>
      <c r="GQ36" s="635"/>
      <c r="GR36" s="635"/>
      <c r="GS36" s="635"/>
      <c r="GT36" s="635"/>
      <c r="GU36" s="635"/>
      <c r="GV36" s="635"/>
      <c r="GW36" s="635"/>
      <c r="GX36" s="635"/>
      <c r="GY36" s="635"/>
      <c r="GZ36" s="635"/>
      <c r="HA36" s="635"/>
      <c r="HB36" s="635"/>
      <c r="HC36" s="635"/>
      <c r="HD36" s="635"/>
      <c r="HE36" s="635"/>
      <c r="HF36" s="635"/>
      <c r="HG36" s="635"/>
      <c r="HH36" s="635"/>
      <c r="HI36" s="635"/>
      <c r="HJ36" s="635"/>
      <c r="HK36" s="635"/>
      <c r="HL36" s="635"/>
      <c r="HM36" s="635"/>
      <c r="HN36" s="635"/>
      <c r="HO36" s="635"/>
      <c r="HP36" s="635"/>
      <c r="HQ36" s="635"/>
      <c r="HR36" s="635"/>
      <c r="HS36" s="635"/>
      <c r="HT36" s="635"/>
      <c r="HU36" s="635"/>
      <c r="HV36" s="635"/>
      <c r="HW36" s="635"/>
      <c r="HX36" s="635"/>
      <c r="HY36" s="635"/>
      <c r="HZ36" s="635"/>
      <c r="IA36" s="635"/>
      <c r="IB36" s="635"/>
      <c r="IC36" s="635"/>
      <c r="ID36" s="635"/>
      <c r="IE36" s="635"/>
      <c r="IF36" s="635"/>
      <c r="IG36" s="635"/>
      <c r="IH36" s="635"/>
      <c r="II36" s="635"/>
      <c r="IJ36" s="635"/>
      <c r="IK36" s="635"/>
      <c r="IL36" s="635"/>
      <c r="IM36" s="635"/>
      <c r="IN36" s="635"/>
      <c r="IO36" s="635"/>
      <c r="IP36" s="635"/>
      <c r="IQ36" s="635"/>
      <c r="IR36" s="635"/>
      <c r="IS36" s="635"/>
      <c r="IT36" s="635"/>
      <c r="IU36" s="635"/>
      <c r="IV36" s="635"/>
      <c r="IW36" s="635"/>
    </row>
    <row r="37" customFormat="false" ht="12.75" hidden="false" customHeight="false" outlineLevel="0" collapsed="false">
      <c r="A37" s="649"/>
      <c r="B37" s="112"/>
      <c r="C37" s="84"/>
      <c r="D37" s="84"/>
      <c r="E37" s="654" t="n">
        <f aca="false">SUM(E76+E77)</f>
        <v>0</v>
      </c>
      <c r="F37" s="654" t="n">
        <f aca="false">SUM(F76+F77)</f>
        <v>260.869565217391</v>
      </c>
      <c r="G37" s="654" t="n">
        <f aca="false">SUM(G76+G77)</f>
        <v>369.057908383751</v>
      </c>
      <c r="H37" s="654" t="n">
        <f aca="false">SUM(H76+H77)</f>
        <v>0</v>
      </c>
      <c r="I37" s="654" t="n">
        <f aca="false">SUM(I76+I77)</f>
        <v>0</v>
      </c>
      <c r="J37" s="654" t="n">
        <f aca="false">SUM(J76+J77)</f>
        <v>0</v>
      </c>
      <c r="K37" s="654" t="n">
        <f aca="false">SUM(K76+K77)</f>
        <v>0</v>
      </c>
      <c r="L37" s="654" t="n">
        <f aca="false">SUM(L76+L77)</f>
        <v>2676.3977770293</v>
      </c>
      <c r="M37" s="654" t="n">
        <f aca="false">SUM(M76+M77)</f>
        <v>3331.64483501907</v>
      </c>
      <c r="N37" s="654" t="n">
        <f aca="false">SUM(N76+N77)</f>
        <v>2443.64720812183</v>
      </c>
      <c r="O37" s="654" t="n">
        <f aca="false">SUM(O76+O77)</f>
        <v>4312.36681518791</v>
      </c>
      <c r="P37" s="654" t="n">
        <f aca="false">SUM(P76+P77)</f>
        <v>0</v>
      </c>
      <c r="Q37" s="654" t="n">
        <f aca="false">SUM(Q76+Q77)</f>
        <v>4214.6059347181</v>
      </c>
      <c r="R37" s="654" t="n">
        <f aca="false">SUM(R76+R77)</f>
        <v>0</v>
      </c>
      <c r="S37" s="654" t="n">
        <f aca="false">SUM(S76+S77)</f>
        <v>7733.68256316868</v>
      </c>
      <c r="T37" s="654" t="n">
        <f aca="false">SUM(T76+T77)</f>
        <v>12350.7847823691</v>
      </c>
      <c r="U37" s="654" t="n">
        <f aca="false">SUM(U76+U77)</f>
        <v>1125.65068114202</v>
      </c>
      <c r="V37" s="654" t="n">
        <f aca="false">SUM(V76+V77)</f>
        <v>1977.03667481663</v>
      </c>
      <c r="W37" s="654" t="n">
        <f aca="false">SUM(W76+W77)</f>
        <v>5618.20759344598</v>
      </c>
      <c r="X37" s="654" t="n">
        <f aca="false">SUM(X76+X77)</f>
        <v>6126.67353721329</v>
      </c>
      <c r="Y37" s="654" t="n">
        <f aca="false">SUM(Y76+Y77)</f>
        <v>4581.41904974846</v>
      </c>
      <c r="Z37" s="654" t="n">
        <f aca="false">SUM(Z76+Z77)</f>
        <v>5052.63202396804</v>
      </c>
      <c r="AA37" s="654" t="n">
        <f aca="false">SUM(AA76+AA77)</f>
        <v>4072.72458961097</v>
      </c>
      <c r="AB37" s="654" t="n">
        <f aca="false">SUM(AB76+AB77)</f>
        <v>0</v>
      </c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647"/>
      <c r="AQ37" s="648" t="n">
        <f aca="false">AQ36+1</f>
        <v>31</v>
      </c>
      <c r="AR37" s="635"/>
      <c r="AS37" s="635"/>
      <c r="AT37" s="635"/>
      <c r="AU37" s="635"/>
      <c r="AV37" s="635"/>
      <c r="AW37" s="635"/>
      <c r="AX37" s="635"/>
      <c r="AY37" s="635"/>
      <c r="AZ37" s="635"/>
      <c r="BA37" s="635"/>
      <c r="BB37" s="635"/>
      <c r="BC37" s="635"/>
      <c r="BD37" s="635"/>
      <c r="BE37" s="635"/>
      <c r="BF37" s="635"/>
      <c r="BG37" s="635"/>
      <c r="BH37" s="635"/>
      <c r="BI37" s="635"/>
      <c r="BJ37" s="635"/>
      <c r="BK37" s="635"/>
      <c r="BL37" s="635"/>
      <c r="BM37" s="635"/>
      <c r="BN37" s="635"/>
      <c r="BO37" s="635"/>
      <c r="BP37" s="635"/>
      <c r="BQ37" s="635"/>
      <c r="BR37" s="635"/>
      <c r="BS37" s="635"/>
      <c r="BT37" s="635"/>
      <c r="BU37" s="635"/>
      <c r="BV37" s="635"/>
      <c r="BW37" s="635"/>
      <c r="BX37" s="635"/>
      <c r="BY37" s="635"/>
      <c r="BZ37" s="635"/>
      <c r="CA37" s="635"/>
      <c r="CB37" s="635"/>
      <c r="CC37" s="635"/>
      <c r="CD37" s="635"/>
      <c r="CE37" s="635"/>
      <c r="CF37" s="635"/>
      <c r="CG37" s="635"/>
      <c r="CH37" s="635"/>
      <c r="CI37" s="635"/>
      <c r="CJ37" s="635"/>
      <c r="CK37" s="635"/>
      <c r="CL37" s="635"/>
      <c r="CM37" s="635"/>
      <c r="CN37" s="635"/>
      <c r="CO37" s="635"/>
      <c r="CP37" s="635"/>
      <c r="CQ37" s="635"/>
      <c r="CR37" s="635"/>
      <c r="CS37" s="635"/>
      <c r="CT37" s="635"/>
      <c r="CU37" s="635"/>
      <c r="CV37" s="635"/>
      <c r="CW37" s="635"/>
      <c r="CX37" s="635"/>
      <c r="CY37" s="635"/>
      <c r="CZ37" s="635"/>
      <c r="DA37" s="635"/>
      <c r="DB37" s="635"/>
      <c r="DC37" s="635"/>
      <c r="DD37" s="635"/>
      <c r="DE37" s="635"/>
      <c r="DF37" s="635"/>
      <c r="DG37" s="635"/>
      <c r="DH37" s="635"/>
      <c r="DI37" s="635"/>
      <c r="DJ37" s="635"/>
      <c r="DK37" s="635"/>
      <c r="DL37" s="635"/>
      <c r="DM37" s="635"/>
      <c r="DN37" s="635"/>
      <c r="DO37" s="635"/>
      <c r="DP37" s="635"/>
      <c r="DQ37" s="635"/>
      <c r="DR37" s="635"/>
      <c r="DS37" s="635"/>
      <c r="DT37" s="635"/>
      <c r="DU37" s="635"/>
      <c r="DV37" s="635"/>
      <c r="DW37" s="635"/>
      <c r="DX37" s="635"/>
      <c r="DY37" s="635"/>
      <c r="DZ37" s="635"/>
      <c r="EA37" s="635"/>
      <c r="EB37" s="635"/>
      <c r="EC37" s="635"/>
      <c r="ED37" s="635"/>
      <c r="EE37" s="635"/>
      <c r="EF37" s="635"/>
      <c r="EG37" s="635"/>
      <c r="EH37" s="635"/>
      <c r="EI37" s="635"/>
      <c r="EJ37" s="635"/>
      <c r="EK37" s="635"/>
      <c r="EL37" s="635"/>
      <c r="EM37" s="635"/>
      <c r="EN37" s="635"/>
      <c r="EO37" s="635"/>
      <c r="EP37" s="635"/>
      <c r="EQ37" s="635"/>
      <c r="ER37" s="635"/>
      <c r="ES37" s="635"/>
      <c r="ET37" s="635"/>
      <c r="EU37" s="635"/>
      <c r="EV37" s="635"/>
      <c r="EW37" s="635"/>
      <c r="EX37" s="635"/>
      <c r="EY37" s="635"/>
      <c r="EZ37" s="635"/>
      <c r="FA37" s="635"/>
      <c r="FB37" s="635"/>
      <c r="FC37" s="635"/>
      <c r="FD37" s="635"/>
      <c r="FE37" s="635"/>
      <c r="FF37" s="635"/>
      <c r="FG37" s="635"/>
      <c r="FH37" s="635"/>
      <c r="FI37" s="635"/>
      <c r="FJ37" s="635"/>
      <c r="FK37" s="635"/>
      <c r="FL37" s="635"/>
      <c r="FM37" s="635"/>
      <c r="FN37" s="635"/>
      <c r="FO37" s="635"/>
      <c r="FP37" s="635"/>
      <c r="FQ37" s="635"/>
      <c r="FR37" s="635"/>
      <c r="FS37" s="635"/>
      <c r="FT37" s="635"/>
      <c r="FU37" s="635"/>
      <c r="FV37" s="635"/>
      <c r="FW37" s="635"/>
      <c r="FX37" s="635"/>
      <c r="FY37" s="635"/>
      <c r="FZ37" s="635"/>
      <c r="GA37" s="635"/>
      <c r="GB37" s="635"/>
      <c r="GC37" s="635"/>
      <c r="GD37" s="635"/>
      <c r="GE37" s="635"/>
      <c r="GF37" s="635"/>
      <c r="GG37" s="635"/>
      <c r="GH37" s="635"/>
      <c r="GI37" s="635"/>
      <c r="GJ37" s="635"/>
      <c r="GK37" s="635"/>
      <c r="GL37" s="635"/>
      <c r="GM37" s="635"/>
      <c r="GN37" s="635"/>
      <c r="GO37" s="635"/>
      <c r="GP37" s="635"/>
      <c r="GQ37" s="635"/>
      <c r="GR37" s="635"/>
      <c r="GS37" s="635"/>
      <c r="GT37" s="635"/>
      <c r="GU37" s="635"/>
      <c r="GV37" s="635"/>
      <c r="GW37" s="635"/>
      <c r="GX37" s="635"/>
      <c r="GY37" s="635"/>
      <c r="GZ37" s="635"/>
      <c r="HA37" s="635"/>
      <c r="HB37" s="635"/>
      <c r="HC37" s="635"/>
      <c r="HD37" s="635"/>
      <c r="HE37" s="635"/>
      <c r="HF37" s="635"/>
      <c r="HG37" s="635"/>
      <c r="HH37" s="635"/>
      <c r="HI37" s="635"/>
      <c r="HJ37" s="635"/>
      <c r="HK37" s="635"/>
      <c r="HL37" s="635"/>
      <c r="HM37" s="635"/>
      <c r="HN37" s="635"/>
      <c r="HO37" s="635"/>
      <c r="HP37" s="635"/>
      <c r="HQ37" s="635"/>
      <c r="HR37" s="635"/>
      <c r="HS37" s="635"/>
      <c r="HT37" s="635"/>
      <c r="HU37" s="635"/>
      <c r="HV37" s="635"/>
      <c r="HW37" s="635"/>
      <c r="HX37" s="635"/>
      <c r="HY37" s="635"/>
      <c r="HZ37" s="635"/>
      <c r="IA37" s="635"/>
      <c r="IB37" s="635"/>
      <c r="IC37" s="635"/>
      <c r="ID37" s="635"/>
      <c r="IE37" s="635"/>
      <c r="IF37" s="635"/>
      <c r="IG37" s="635"/>
      <c r="IH37" s="635"/>
      <c r="II37" s="635"/>
      <c r="IJ37" s="635"/>
      <c r="IK37" s="635"/>
      <c r="IL37" s="635"/>
      <c r="IM37" s="635"/>
      <c r="IN37" s="635"/>
      <c r="IO37" s="635"/>
      <c r="IP37" s="635"/>
      <c r="IQ37" s="635"/>
      <c r="IR37" s="635"/>
      <c r="IS37" s="635"/>
      <c r="IT37" s="635"/>
      <c r="IU37" s="635"/>
      <c r="IV37" s="635"/>
      <c r="IW37" s="635"/>
    </row>
    <row r="38" customFormat="false" ht="12.75" hidden="false" customHeight="false" outlineLevel="0" collapsed="false">
      <c r="A38" s="649" t="str">
        <f aca="false">Assm!N39</f>
        <v>Working Capital </v>
      </c>
      <c r="B38" s="112"/>
      <c r="C38" s="484" t="n">
        <f aca="false">Wcap</f>
        <v>0</v>
      </c>
      <c r="D38" s="84"/>
      <c r="E38" s="177" t="n">
        <f aca="false">E37-E49</f>
        <v>-27.5296833773087</v>
      </c>
      <c r="F38" s="177" t="n">
        <f aca="false">F37-F49</f>
        <v>117.391304347826</v>
      </c>
      <c r="G38" s="177" t="n">
        <f aca="false">G37-G49</f>
        <v>358.372947277442</v>
      </c>
      <c r="H38" s="177" t="n">
        <f aca="false">H37-H49</f>
        <v>0</v>
      </c>
      <c r="I38" s="177" t="n">
        <f aca="false">I37-I49</f>
        <v>-497.900968564146</v>
      </c>
      <c r="J38" s="177" t="n">
        <f aca="false">J37-J49</f>
        <v>0</v>
      </c>
      <c r="K38" s="177" t="n">
        <f aca="false">K37-K49</f>
        <v>-63.582842724979</v>
      </c>
      <c r="L38" s="177" t="n">
        <f aca="false">L37-L49</f>
        <v>2553.77231391041</v>
      </c>
      <c r="M38" s="177" t="n">
        <f aca="false">M37-M49</f>
        <v>289.877541037971</v>
      </c>
      <c r="N38" s="177" t="n">
        <f aca="false">N37-N49</f>
        <v>-1301.02121827411</v>
      </c>
      <c r="O38" s="177" t="n">
        <f aca="false">O37-O49</f>
        <v>60.1464548624563</v>
      </c>
      <c r="P38" s="177" t="n">
        <f aca="false">P37-P49</f>
        <v>-449.381653674833</v>
      </c>
      <c r="Q38" s="177" t="n">
        <f aca="false">Q37-Q49</f>
        <v>1228.45804747774</v>
      </c>
      <c r="R38" s="177" t="n">
        <f aca="false">R37-R49</f>
        <v>-1068.85151392111</v>
      </c>
      <c r="S38" s="177" t="n">
        <f aca="false">S37-S49</f>
        <v>1194.57831777828</v>
      </c>
      <c r="T38" s="177" t="n">
        <f aca="false">T37-T49</f>
        <v>-63.1152341597826</v>
      </c>
      <c r="U38" s="177" t="n">
        <f aca="false">U37-U49</f>
        <v>-405.607834438123</v>
      </c>
      <c r="V38" s="177" t="n">
        <f aca="false">V37-V49</f>
        <v>-497.895084013942</v>
      </c>
      <c r="W38" s="177" t="n">
        <f aca="false">W37-W49</f>
        <v>4805.25218637993</v>
      </c>
      <c r="X38" s="177" t="n">
        <f aca="false">X37-X49</f>
        <v>946.343792583346</v>
      </c>
      <c r="Y38" s="177" t="n">
        <f aca="false">Y37-Y49</f>
        <v>-6401.99403018446</v>
      </c>
      <c r="Z38" s="177" t="n">
        <f aca="false">Z37-Z49</f>
        <v>2196.80565357301</v>
      </c>
      <c r="AA38" s="177" t="n">
        <f aca="false">AA37-AA49</f>
        <v>-839.23237013717</v>
      </c>
      <c r="AB38" s="177" t="n">
        <f aca="false">AB37-AB49</f>
        <v>-1415.76546672008</v>
      </c>
      <c r="AC38" s="177" t="n">
        <v>0</v>
      </c>
      <c r="AD38" s="177" t="n">
        <v>0</v>
      </c>
      <c r="AE38" s="177" t="n">
        <v>0</v>
      </c>
      <c r="AF38" s="653" t="n">
        <f aca="false">-SUM($E38:AE38)</f>
        <v>-719.120659038365</v>
      </c>
      <c r="AG38" s="177" t="n">
        <v>0</v>
      </c>
      <c r="AH38" s="177" t="n">
        <v>0</v>
      </c>
      <c r="AI38" s="177" t="n">
        <v>0</v>
      </c>
      <c r="AJ38" s="177" t="n">
        <v>0</v>
      </c>
      <c r="AK38" s="177" t="n">
        <v>0</v>
      </c>
      <c r="AL38" s="177" t="n">
        <v>0</v>
      </c>
      <c r="AM38" s="177" t="n">
        <v>0</v>
      </c>
      <c r="AN38" s="177" t="n">
        <v>0</v>
      </c>
      <c r="AO38" s="84"/>
      <c r="AP38" s="485" t="n">
        <f aca="false">SUM(E38:AO38)</f>
        <v>0</v>
      </c>
      <c r="AQ38" s="648" t="n">
        <f aca="false">AQ37+1</f>
        <v>32</v>
      </c>
      <c r="AR38" s="635"/>
      <c r="AS38" s="635"/>
      <c r="AT38" s="635"/>
      <c r="AU38" s="635"/>
      <c r="AV38" s="635"/>
      <c r="AW38" s="635"/>
      <c r="AX38" s="635"/>
      <c r="AY38" s="635"/>
      <c r="AZ38" s="635"/>
      <c r="BA38" s="635"/>
      <c r="BB38" s="635"/>
      <c r="BC38" s="635"/>
      <c r="BD38" s="635"/>
      <c r="BE38" s="635"/>
      <c r="BF38" s="635"/>
      <c r="BG38" s="635"/>
      <c r="BH38" s="635"/>
      <c r="BI38" s="635"/>
      <c r="BJ38" s="635"/>
      <c r="BK38" s="635"/>
      <c r="BL38" s="635"/>
      <c r="BM38" s="635"/>
      <c r="BN38" s="635"/>
      <c r="BO38" s="635"/>
      <c r="BP38" s="635"/>
      <c r="BQ38" s="635"/>
      <c r="BR38" s="635"/>
      <c r="BS38" s="635"/>
      <c r="BT38" s="635"/>
      <c r="BU38" s="635"/>
      <c r="BV38" s="635"/>
      <c r="BW38" s="635"/>
      <c r="BX38" s="635"/>
      <c r="BY38" s="635"/>
      <c r="BZ38" s="635"/>
      <c r="CA38" s="635"/>
      <c r="CB38" s="635"/>
      <c r="CC38" s="635"/>
      <c r="CD38" s="635"/>
      <c r="CE38" s="635"/>
      <c r="CF38" s="635"/>
      <c r="CG38" s="635"/>
      <c r="CH38" s="635"/>
      <c r="CI38" s="635"/>
      <c r="CJ38" s="635"/>
      <c r="CK38" s="635"/>
      <c r="CL38" s="635"/>
      <c r="CM38" s="635"/>
      <c r="CN38" s="635"/>
      <c r="CO38" s="635"/>
      <c r="CP38" s="635"/>
      <c r="CQ38" s="635"/>
      <c r="CR38" s="635"/>
      <c r="CS38" s="635"/>
      <c r="CT38" s="635"/>
      <c r="CU38" s="635"/>
      <c r="CV38" s="635"/>
      <c r="CW38" s="635"/>
      <c r="CX38" s="635"/>
      <c r="CY38" s="635"/>
      <c r="CZ38" s="635"/>
      <c r="DA38" s="635"/>
      <c r="DB38" s="635"/>
      <c r="DC38" s="635"/>
      <c r="DD38" s="635"/>
      <c r="DE38" s="635"/>
      <c r="DF38" s="635"/>
      <c r="DG38" s="635"/>
      <c r="DH38" s="635"/>
      <c r="DI38" s="635"/>
      <c r="DJ38" s="635"/>
      <c r="DK38" s="635"/>
      <c r="DL38" s="635"/>
      <c r="DM38" s="635"/>
      <c r="DN38" s="635"/>
      <c r="DO38" s="635"/>
      <c r="DP38" s="635"/>
      <c r="DQ38" s="635"/>
      <c r="DR38" s="635"/>
      <c r="DS38" s="635"/>
      <c r="DT38" s="635"/>
      <c r="DU38" s="635"/>
      <c r="DV38" s="635"/>
      <c r="DW38" s="635"/>
      <c r="DX38" s="635"/>
      <c r="DY38" s="635"/>
      <c r="DZ38" s="635"/>
      <c r="EA38" s="635"/>
      <c r="EB38" s="635"/>
      <c r="EC38" s="635"/>
      <c r="ED38" s="635"/>
      <c r="EE38" s="635"/>
      <c r="EF38" s="635"/>
      <c r="EG38" s="635"/>
      <c r="EH38" s="635"/>
      <c r="EI38" s="635"/>
      <c r="EJ38" s="635"/>
      <c r="EK38" s="635"/>
      <c r="EL38" s="635"/>
      <c r="EM38" s="635"/>
      <c r="EN38" s="635"/>
      <c r="EO38" s="635"/>
      <c r="EP38" s="635"/>
      <c r="EQ38" s="635"/>
      <c r="ER38" s="635"/>
      <c r="ES38" s="635"/>
      <c r="ET38" s="635"/>
      <c r="EU38" s="635"/>
      <c r="EV38" s="635"/>
      <c r="EW38" s="635"/>
      <c r="EX38" s="635"/>
      <c r="EY38" s="635"/>
      <c r="EZ38" s="635"/>
      <c r="FA38" s="635"/>
      <c r="FB38" s="635"/>
      <c r="FC38" s="635"/>
      <c r="FD38" s="635"/>
      <c r="FE38" s="635"/>
      <c r="FF38" s="635"/>
      <c r="FG38" s="635"/>
      <c r="FH38" s="635"/>
      <c r="FI38" s="635"/>
      <c r="FJ38" s="635"/>
      <c r="FK38" s="635"/>
      <c r="FL38" s="635"/>
      <c r="FM38" s="635"/>
      <c r="FN38" s="635"/>
      <c r="FO38" s="635"/>
      <c r="FP38" s="635"/>
      <c r="FQ38" s="635"/>
      <c r="FR38" s="635"/>
      <c r="FS38" s="635"/>
      <c r="FT38" s="635"/>
      <c r="FU38" s="635"/>
      <c r="FV38" s="635"/>
      <c r="FW38" s="635"/>
      <c r="FX38" s="635"/>
      <c r="FY38" s="635"/>
      <c r="FZ38" s="635"/>
      <c r="GA38" s="635"/>
      <c r="GB38" s="635"/>
      <c r="GC38" s="635"/>
      <c r="GD38" s="635"/>
      <c r="GE38" s="635"/>
      <c r="GF38" s="635"/>
      <c r="GG38" s="635"/>
      <c r="GH38" s="635"/>
      <c r="GI38" s="635"/>
      <c r="GJ38" s="635"/>
      <c r="GK38" s="635"/>
      <c r="GL38" s="635"/>
      <c r="GM38" s="635"/>
      <c r="GN38" s="635"/>
      <c r="GO38" s="635"/>
      <c r="GP38" s="635"/>
      <c r="GQ38" s="635"/>
      <c r="GR38" s="635"/>
      <c r="GS38" s="635"/>
      <c r="GT38" s="635"/>
      <c r="GU38" s="635"/>
      <c r="GV38" s="635"/>
      <c r="GW38" s="635"/>
      <c r="GX38" s="635"/>
      <c r="GY38" s="635"/>
      <c r="GZ38" s="635"/>
      <c r="HA38" s="635"/>
      <c r="HB38" s="635"/>
      <c r="HC38" s="635"/>
      <c r="HD38" s="635"/>
      <c r="HE38" s="635"/>
      <c r="HF38" s="635"/>
      <c r="HG38" s="635"/>
      <c r="HH38" s="635"/>
      <c r="HI38" s="635"/>
      <c r="HJ38" s="635"/>
      <c r="HK38" s="635"/>
      <c r="HL38" s="635"/>
      <c r="HM38" s="635"/>
      <c r="HN38" s="635"/>
      <c r="HO38" s="635"/>
      <c r="HP38" s="635"/>
      <c r="HQ38" s="635"/>
      <c r="HR38" s="635"/>
      <c r="HS38" s="635"/>
      <c r="HT38" s="635"/>
      <c r="HU38" s="635"/>
      <c r="HV38" s="635"/>
      <c r="HW38" s="635"/>
      <c r="HX38" s="635"/>
      <c r="HY38" s="635"/>
      <c r="HZ38" s="635"/>
      <c r="IA38" s="635"/>
      <c r="IB38" s="635"/>
      <c r="IC38" s="635"/>
      <c r="ID38" s="635"/>
      <c r="IE38" s="635"/>
      <c r="IF38" s="635"/>
      <c r="IG38" s="635"/>
      <c r="IH38" s="635"/>
      <c r="II38" s="635"/>
      <c r="IJ38" s="635"/>
      <c r="IK38" s="635"/>
      <c r="IL38" s="635"/>
      <c r="IM38" s="635"/>
      <c r="IN38" s="635"/>
      <c r="IO38" s="635"/>
      <c r="IP38" s="635"/>
      <c r="IQ38" s="635"/>
      <c r="IR38" s="635"/>
      <c r="IS38" s="635"/>
      <c r="IT38" s="635"/>
      <c r="IU38" s="635"/>
      <c r="IV38" s="635"/>
      <c r="IW38" s="635"/>
    </row>
    <row r="39" customFormat="false" ht="12.75" hidden="false" customHeight="false" outlineLevel="0" collapsed="false">
      <c r="A39" s="649" t="str">
        <f aca="false">Assm!N40</f>
        <v>Total Other Costs</v>
      </c>
      <c r="B39" s="112"/>
      <c r="C39" s="174" t="n">
        <f aca="false">SUM(C38)</f>
        <v>0</v>
      </c>
      <c r="D39" s="84"/>
      <c r="E39" s="174" t="n">
        <f aca="false">SUM(E38)</f>
        <v>-27.5296833773087</v>
      </c>
      <c r="F39" s="174" t="n">
        <f aca="false">SUM(F38)</f>
        <v>117.391304347826</v>
      </c>
      <c r="G39" s="174" t="n">
        <f aca="false">SUM(G38)</f>
        <v>358.372947277442</v>
      </c>
      <c r="H39" s="174" t="n">
        <f aca="false">SUM(H38)</f>
        <v>0</v>
      </c>
      <c r="I39" s="174" t="n">
        <f aca="false">SUM(I38)</f>
        <v>-497.900968564146</v>
      </c>
      <c r="J39" s="174" t="n">
        <f aca="false">SUM(J38)</f>
        <v>0</v>
      </c>
      <c r="K39" s="174" t="n">
        <f aca="false">SUM(K38)</f>
        <v>-63.582842724979</v>
      </c>
      <c r="L39" s="174" t="n">
        <f aca="false">SUM(L38)</f>
        <v>2553.77231391041</v>
      </c>
      <c r="M39" s="174" t="n">
        <f aca="false">SUM(M38)</f>
        <v>289.877541037971</v>
      </c>
      <c r="N39" s="174" t="n">
        <f aca="false">SUM(N38)</f>
        <v>-1301.02121827411</v>
      </c>
      <c r="O39" s="174" t="n">
        <f aca="false">SUM(O38)</f>
        <v>60.1464548624563</v>
      </c>
      <c r="P39" s="174" t="n">
        <f aca="false">SUM(P38)</f>
        <v>-449.381653674833</v>
      </c>
      <c r="Q39" s="174" t="n">
        <f aca="false">SUM(Q38)</f>
        <v>1228.45804747774</v>
      </c>
      <c r="R39" s="174" t="n">
        <f aca="false">SUM(R38)</f>
        <v>-1068.85151392111</v>
      </c>
      <c r="S39" s="174" t="n">
        <f aca="false">SUM(S38)</f>
        <v>1194.57831777828</v>
      </c>
      <c r="T39" s="174" t="n">
        <f aca="false">SUM(T38)</f>
        <v>-63.1152341597826</v>
      </c>
      <c r="U39" s="174" t="n">
        <f aca="false">SUM(U38)</f>
        <v>-405.607834438123</v>
      </c>
      <c r="V39" s="174" t="n">
        <f aca="false">SUM(V38)</f>
        <v>-497.895084013942</v>
      </c>
      <c r="W39" s="174" t="n">
        <f aca="false">SUM(W38)</f>
        <v>4805.25218637993</v>
      </c>
      <c r="X39" s="174" t="n">
        <f aca="false">SUM(X38)</f>
        <v>946.343792583346</v>
      </c>
      <c r="Y39" s="174" t="n">
        <f aca="false">SUM(Y38)</f>
        <v>-6401.99403018446</v>
      </c>
      <c r="Z39" s="174" t="n">
        <f aca="false">SUM(Z38)</f>
        <v>2196.80565357301</v>
      </c>
      <c r="AA39" s="174" t="n">
        <f aca="false">SUM(AA38)</f>
        <v>-839.23237013717</v>
      </c>
      <c r="AB39" s="174" t="n">
        <f aca="false">SUM(AB38)</f>
        <v>-1415.76546672008</v>
      </c>
      <c r="AC39" s="174" t="n">
        <f aca="false">SUM(AC38)</f>
        <v>0</v>
      </c>
      <c r="AD39" s="174" t="n">
        <f aca="false">SUM(AD38)</f>
        <v>0</v>
      </c>
      <c r="AE39" s="174" t="n">
        <f aca="false">SUM(AE38)</f>
        <v>0</v>
      </c>
      <c r="AF39" s="174" t="n">
        <f aca="false">SUM(AF38)</f>
        <v>-719.120659038365</v>
      </c>
      <c r="AG39" s="174" t="n">
        <f aca="false">SUM(AG38)</f>
        <v>0</v>
      </c>
      <c r="AH39" s="174" t="n">
        <f aca="false">SUM(AH38)</f>
        <v>0</v>
      </c>
      <c r="AI39" s="174" t="n">
        <f aca="false">SUM(AI38)</f>
        <v>0</v>
      </c>
      <c r="AJ39" s="174" t="n">
        <f aca="false">SUM(AJ38)</f>
        <v>0</v>
      </c>
      <c r="AK39" s="174" t="n">
        <f aca="false">SUM(AK38)</f>
        <v>0</v>
      </c>
      <c r="AL39" s="174" t="n">
        <f aca="false">SUM(AL38)</f>
        <v>0</v>
      </c>
      <c r="AM39" s="174" t="n">
        <f aca="false">SUM(AM38)</f>
        <v>0</v>
      </c>
      <c r="AN39" s="174" t="n">
        <f aca="false">SUM(AN38)</f>
        <v>0</v>
      </c>
      <c r="AO39" s="84"/>
      <c r="AP39" s="482" t="n">
        <f aca="false">SUM(E39:AO39)</f>
        <v>0</v>
      </c>
      <c r="AQ39" s="648" t="n">
        <f aca="false">AQ38+1</f>
        <v>33</v>
      </c>
      <c r="AR39" s="635"/>
      <c r="AS39" s="635"/>
      <c r="AT39" s="635"/>
      <c r="AU39" s="635"/>
      <c r="AV39" s="635"/>
      <c r="AW39" s="635"/>
      <c r="AX39" s="635"/>
      <c r="AY39" s="635"/>
      <c r="AZ39" s="635"/>
      <c r="BA39" s="635"/>
      <c r="BB39" s="635"/>
      <c r="BC39" s="635"/>
      <c r="BD39" s="635"/>
      <c r="BE39" s="635"/>
      <c r="BF39" s="635"/>
      <c r="BG39" s="635"/>
      <c r="BH39" s="635"/>
      <c r="BI39" s="635"/>
      <c r="BJ39" s="635"/>
      <c r="BK39" s="635"/>
      <c r="BL39" s="635"/>
      <c r="BM39" s="635"/>
      <c r="BN39" s="635"/>
      <c r="BO39" s="635"/>
      <c r="BP39" s="635"/>
      <c r="BQ39" s="635"/>
      <c r="BR39" s="635"/>
      <c r="BS39" s="635"/>
      <c r="BT39" s="635"/>
      <c r="BU39" s="635"/>
      <c r="BV39" s="635"/>
      <c r="BW39" s="635"/>
      <c r="BX39" s="635"/>
      <c r="BY39" s="635"/>
      <c r="BZ39" s="635"/>
      <c r="CA39" s="635"/>
      <c r="CB39" s="635"/>
      <c r="CC39" s="635"/>
      <c r="CD39" s="635"/>
      <c r="CE39" s="635"/>
      <c r="CF39" s="635"/>
      <c r="CG39" s="635"/>
      <c r="CH39" s="635"/>
      <c r="CI39" s="635"/>
      <c r="CJ39" s="635"/>
      <c r="CK39" s="635"/>
      <c r="CL39" s="635"/>
      <c r="CM39" s="635"/>
      <c r="CN39" s="635"/>
      <c r="CO39" s="635"/>
      <c r="CP39" s="635"/>
      <c r="CQ39" s="635"/>
      <c r="CR39" s="635"/>
      <c r="CS39" s="635"/>
      <c r="CT39" s="635"/>
      <c r="CU39" s="635"/>
      <c r="CV39" s="635"/>
      <c r="CW39" s="635"/>
      <c r="CX39" s="635"/>
      <c r="CY39" s="635"/>
      <c r="CZ39" s="635"/>
      <c r="DA39" s="635"/>
      <c r="DB39" s="635"/>
      <c r="DC39" s="635"/>
      <c r="DD39" s="635"/>
      <c r="DE39" s="635"/>
      <c r="DF39" s="635"/>
      <c r="DG39" s="635"/>
      <c r="DH39" s="635"/>
      <c r="DI39" s="635"/>
      <c r="DJ39" s="635"/>
      <c r="DK39" s="635"/>
      <c r="DL39" s="635"/>
      <c r="DM39" s="635"/>
      <c r="DN39" s="635"/>
      <c r="DO39" s="635"/>
      <c r="DP39" s="635"/>
      <c r="DQ39" s="635"/>
      <c r="DR39" s="635"/>
      <c r="DS39" s="635"/>
      <c r="DT39" s="635"/>
      <c r="DU39" s="635"/>
      <c r="DV39" s="635"/>
      <c r="DW39" s="635"/>
      <c r="DX39" s="635"/>
      <c r="DY39" s="635"/>
      <c r="DZ39" s="635"/>
      <c r="EA39" s="635"/>
      <c r="EB39" s="635"/>
      <c r="EC39" s="635"/>
      <c r="ED39" s="635"/>
      <c r="EE39" s="635"/>
      <c r="EF39" s="635"/>
      <c r="EG39" s="635"/>
      <c r="EH39" s="635"/>
      <c r="EI39" s="635"/>
      <c r="EJ39" s="635"/>
      <c r="EK39" s="635"/>
      <c r="EL39" s="635"/>
      <c r="EM39" s="635"/>
      <c r="EN39" s="635"/>
      <c r="EO39" s="635"/>
      <c r="EP39" s="635"/>
      <c r="EQ39" s="635"/>
      <c r="ER39" s="635"/>
      <c r="ES39" s="635"/>
      <c r="ET39" s="635"/>
      <c r="EU39" s="635"/>
      <c r="EV39" s="635"/>
      <c r="EW39" s="635"/>
      <c r="EX39" s="635"/>
      <c r="EY39" s="635"/>
      <c r="EZ39" s="635"/>
      <c r="FA39" s="635"/>
      <c r="FB39" s="635"/>
      <c r="FC39" s="635"/>
      <c r="FD39" s="635"/>
      <c r="FE39" s="635"/>
      <c r="FF39" s="635"/>
      <c r="FG39" s="635"/>
      <c r="FH39" s="635"/>
      <c r="FI39" s="635"/>
      <c r="FJ39" s="635"/>
      <c r="FK39" s="635"/>
      <c r="FL39" s="635"/>
      <c r="FM39" s="635"/>
      <c r="FN39" s="635"/>
      <c r="FO39" s="635"/>
      <c r="FP39" s="635"/>
      <c r="FQ39" s="635"/>
      <c r="FR39" s="635"/>
      <c r="FS39" s="635"/>
      <c r="FT39" s="635"/>
      <c r="FU39" s="635"/>
      <c r="FV39" s="635"/>
      <c r="FW39" s="635"/>
      <c r="FX39" s="635"/>
      <c r="FY39" s="635"/>
      <c r="FZ39" s="635"/>
      <c r="GA39" s="635"/>
      <c r="GB39" s="635"/>
      <c r="GC39" s="635"/>
      <c r="GD39" s="635"/>
      <c r="GE39" s="635"/>
      <c r="GF39" s="635"/>
      <c r="GG39" s="635"/>
      <c r="GH39" s="635"/>
      <c r="GI39" s="635"/>
      <c r="GJ39" s="635"/>
      <c r="GK39" s="635"/>
      <c r="GL39" s="635"/>
      <c r="GM39" s="635"/>
      <c r="GN39" s="635"/>
      <c r="GO39" s="635"/>
      <c r="GP39" s="635"/>
      <c r="GQ39" s="635"/>
      <c r="GR39" s="635"/>
      <c r="GS39" s="635"/>
      <c r="GT39" s="635"/>
      <c r="GU39" s="635"/>
      <c r="GV39" s="635"/>
      <c r="GW39" s="635"/>
      <c r="GX39" s="635"/>
      <c r="GY39" s="635"/>
      <c r="GZ39" s="635"/>
      <c r="HA39" s="635"/>
      <c r="HB39" s="635"/>
      <c r="HC39" s="635"/>
      <c r="HD39" s="635"/>
      <c r="HE39" s="635"/>
      <c r="HF39" s="635"/>
      <c r="HG39" s="635"/>
      <c r="HH39" s="635"/>
      <c r="HI39" s="635"/>
      <c r="HJ39" s="635"/>
      <c r="HK39" s="635"/>
      <c r="HL39" s="635"/>
      <c r="HM39" s="635"/>
      <c r="HN39" s="635"/>
      <c r="HO39" s="635"/>
      <c r="HP39" s="635"/>
      <c r="HQ39" s="635"/>
      <c r="HR39" s="635"/>
      <c r="HS39" s="635"/>
      <c r="HT39" s="635"/>
      <c r="HU39" s="635"/>
      <c r="HV39" s="635"/>
      <c r="HW39" s="635"/>
      <c r="HX39" s="635"/>
      <c r="HY39" s="635"/>
      <c r="HZ39" s="635"/>
      <c r="IA39" s="635"/>
      <c r="IB39" s="635"/>
      <c r="IC39" s="635"/>
      <c r="ID39" s="635"/>
      <c r="IE39" s="635"/>
      <c r="IF39" s="635"/>
      <c r="IG39" s="635"/>
      <c r="IH39" s="635"/>
      <c r="II39" s="635"/>
      <c r="IJ39" s="635"/>
      <c r="IK39" s="635"/>
      <c r="IL39" s="635"/>
      <c r="IM39" s="635"/>
      <c r="IN39" s="635"/>
      <c r="IO39" s="635"/>
      <c r="IP39" s="635"/>
      <c r="IQ39" s="635"/>
      <c r="IR39" s="635"/>
      <c r="IS39" s="635"/>
      <c r="IT39" s="635"/>
      <c r="IU39" s="635"/>
      <c r="IV39" s="635"/>
      <c r="IW39" s="635"/>
    </row>
    <row r="40" customFormat="false" ht="12.75" hidden="false" customHeight="false" outlineLevel="0" collapsed="false">
      <c r="A40" s="649"/>
      <c r="B40" s="112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647"/>
      <c r="AQ40" s="648" t="n">
        <f aca="false">AQ39+1</f>
        <v>34</v>
      </c>
      <c r="AR40" s="635"/>
      <c r="AS40" s="635"/>
      <c r="AT40" s="635"/>
      <c r="AU40" s="635"/>
      <c r="AV40" s="635"/>
      <c r="AW40" s="635"/>
      <c r="AX40" s="635"/>
      <c r="AY40" s="635"/>
      <c r="AZ40" s="635"/>
      <c r="BA40" s="635"/>
      <c r="BB40" s="635"/>
      <c r="BC40" s="635"/>
      <c r="BD40" s="635"/>
      <c r="BE40" s="635"/>
      <c r="BF40" s="635"/>
      <c r="BG40" s="635"/>
      <c r="BH40" s="635"/>
      <c r="BI40" s="635"/>
      <c r="BJ40" s="635"/>
      <c r="BK40" s="635"/>
      <c r="BL40" s="635"/>
      <c r="BM40" s="635"/>
      <c r="BN40" s="635"/>
      <c r="BO40" s="635"/>
      <c r="BP40" s="635"/>
      <c r="BQ40" s="635"/>
      <c r="BR40" s="635"/>
      <c r="BS40" s="635"/>
      <c r="BT40" s="635"/>
      <c r="BU40" s="635"/>
      <c r="BV40" s="635"/>
      <c r="BW40" s="635"/>
      <c r="BX40" s="635"/>
      <c r="BY40" s="635"/>
      <c r="BZ40" s="635"/>
      <c r="CA40" s="635"/>
      <c r="CB40" s="635"/>
      <c r="CC40" s="635"/>
      <c r="CD40" s="635"/>
      <c r="CE40" s="635"/>
      <c r="CF40" s="635"/>
      <c r="CG40" s="635"/>
      <c r="CH40" s="635"/>
      <c r="CI40" s="635"/>
      <c r="CJ40" s="635"/>
      <c r="CK40" s="635"/>
      <c r="CL40" s="635"/>
      <c r="CM40" s="635"/>
      <c r="CN40" s="635"/>
      <c r="CO40" s="635"/>
      <c r="CP40" s="635"/>
      <c r="CQ40" s="635"/>
      <c r="CR40" s="635"/>
      <c r="CS40" s="635"/>
      <c r="CT40" s="635"/>
      <c r="CU40" s="635"/>
      <c r="CV40" s="635"/>
      <c r="CW40" s="635"/>
      <c r="CX40" s="635"/>
      <c r="CY40" s="635"/>
      <c r="CZ40" s="635"/>
      <c r="DA40" s="635"/>
      <c r="DB40" s="635"/>
      <c r="DC40" s="635"/>
      <c r="DD40" s="635"/>
      <c r="DE40" s="635"/>
      <c r="DF40" s="635"/>
      <c r="DG40" s="635"/>
      <c r="DH40" s="635"/>
      <c r="DI40" s="635"/>
      <c r="DJ40" s="635"/>
      <c r="DK40" s="635"/>
      <c r="DL40" s="635"/>
      <c r="DM40" s="635"/>
      <c r="DN40" s="635"/>
      <c r="DO40" s="635"/>
      <c r="DP40" s="635"/>
      <c r="DQ40" s="635"/>
      <c r="DR40" s="635"/>
      <c r="DS40" s="635"/>
      <c r="DT40" s="635"/>
      <c r="DU40" s="635"/>
      <c r="DV40" s="635"/>
      <c r="DW40" s="635"/>
      <c r="DX40" s="635"/>
      <c r="DY40" s="635"/>
      <c r="DZ40" s="635"/>
      <c r="EA40" s="635"/>
      <c r="EB40" s="635"/>
      <c r="EC40" s="635"/>
      <c r="ED40" s="635"/>
      <c r="EE40" s="635"/>
      <c r="EF40" s="635"/>
      <c r="EG40" s="635"/>
      <c r="EH40" s="635"/>
      <c r="EI40" s="635"/>
      <c r="EJ40" s="635"/>
      <c r="EK40" s="635"/>
      <c r="EL40" s="635"/>
      <c r="EM40" s="635"/>
      <c r="EN40" s="635"/>
      <c r="EO40" s="635"/>
      <c r="EP40" s="635"/>
      <c r="EQ40" s="635"/>
      <c r="ER40" s="635"/>
      <c r="ES40" s="635"/>
      <c r="ET40" s="635"/>
      <c r="EU40" s="635"/>
      <c r="EV40" s="635"/>
      <c r="EW40" s="635"/>
      <c r="EX40" s="635"/>
      <c r="EY40" s="635"/>
      <c r="EZ40" s="635"/>
      <c r="FA40" s="635"/>
      <c r="FB40" s="635"/>
      <c r="FC40" s="635"/>
      <c r="FD40" s="635"/>
      <c r="FE40" s="635"/>
      <c r="FF40" s="635"/>
      <c r="FG40" s="635"/>
      <c r="FH40" s="635"/>
      <c r="FI40" s="635"/>
      <c r="FJ40" s="635"/>
      <c r="FK40" s="635"/>
      <c r="FL40" s="635"/>
      <c r="FM40" s="635"/>
      <c r="FN40" s="635"/>
      <c r="FO40" s="635"/>
      <c r="FP40" s="635"/>
      <c r="FQ40" s="635"/>
      <c r="FR40" s="635"/>
      <c r="FS40" s="635"/>
      <c r="FT40" s="635"/>
      <c r="FU40" s="635"/>
      <c r="FV40" s="635"/>
      <c r="FW40" s="635"/>
      <c r="FX40" s="635"/>
      <c r="FY40" s="635"/>
      <c r="FZ40" s="635"/>
      <c r="GA40" s="635"/>
      <c r="GB40" s="635"/>
      <c r="GC40" s="635"/>
      <c r="GD40" s="635"/>
      <c r="GE40" s="635"/>
      <c r="GF40" s="635"/>
      <c r="GG40" s="635"/>
      <c r="GH40" s="635"/>
      <c r="GI40" s="635"/>
      <c r="GJ40" s="635"/>
      <c r="GK40" s="635"/>
      <c r="GL40" s="635"/>
      <c r="GM40" s="635"/>
      <c r="GN40" s="635"/>
      <c r="GO40" s="635"/>
      <c r="GP40" s="635"/>
      <c r="GQ40" s="635"/>
      <c r="GR40" s="635"/>
      <c r="GS40" s="635"/>
      <c r="GT40" s="635"/>
      <c r="GU40" s="635"/>
      <c r="GV40" s="635"/>
      <c r="GW40" s="635"/>
      <c r="GX40" s="635"/>
      <c r="GY40" s="635"/>
      <c r="GZ40" s="635"/>
      <c r="HA40" s="635"/>
      <c r="HB40" s="635"/>
      <c r="HC40" s="635"/>
      <c r="HD40" s="635"/>
      <c r="HE40" s="635"/>
      <c r="HF40" s="635"/>
      <c r="HG40" s="635"/>
      <c r="HH40" s="635"/>
      <c r="HI40" s="635"/>
      <c r="HJ40" s="635"/>
      <c r="HK40" s="635"/>
      <c r="HL40" s="635"/>
      <c r="HM40" s="635"/>
      <c r="HN40" s="635"/>
      <c r="HO40" s="635"/>
      <c r="HP40" s="635"/>
      <c r="HQ40" s="635"/>
      <c r="HR40" s="635"/>
      <c r="HS40" s="635"/>
      <c r="HT40" s="635"/>
      <c r="HU40" s="635"/>
      <c r="HV40" s="635"/>
      <c r="HW40" s="635"/>
      <c r="HX40" s="635"/>
      <c r="HY40" s="635"/>
      <c r="HZ40" s="635"/>
      <c r="IA40" s="635"/>
      <c r="IB40" s="635"/>
      <c r="IC40" s="635"/>
      <c r="ID40" s="635"/>
      <c r="IE40" s="635"/>
      <c r="IF40" s="635"/>
      <c r="IG40" s="635"/>
      <c r="IH40" s="635"/>
      <c r="II40" s="635"/>
      <c r="IJ40" s="635"/>
      <c r="IK40" s="635"/>
      <c r="IL40" s="635"/>
      <c r="IM40" s="635"/>
      <c r="IN40" s="635"/>
      <c r="IO40" s="635"/>
      <c r="IP40" s="635"/>
      <c r="IQ40" s="635"/>
      <c r="IR40" s="635"/>
      <c r="IS40" s="635"/>
      <c r="IT40" s="635"/>
      <c r="IU40" s="635"/>
      <c r="IV40" s="635"/>
      <c r="IW40" s="635"/>
    </row>
    <row r="41" customFormat="false" ht="12.75" hidden="false" customHeight="false" outlineLevel="0" collapsed="false">
      <c r="A41" s="649" t="str">
        <f aca="false">Assm!N42</f>
        <v>Contingency - Change Orders</v>
      </c>
      <c r="B41" s="112"/>
      <c r="C41" s="174" t="n">
        <f aca="false">Assm!R42</f>
        <v>2286.6465</v>
      </c>
      <c r="D41" s="84"/>
      <c r="E41" s="156" t="n">
        <v>0</v>
      </c>
      <c r="F41" s="156" t="n">
        <v>0</v>
      </c>
      <c r="G41" s="156" t="n">
        <v>0</v>
      </c>
      <c r="H41" s="156" t="n">
        <v>0</v>
      </c>
      <c r="I41" s="156" t="n">
        <v>0</v>
      </c>
      <c r="J41" s="156" t="n">
        <v>0</v>
      </c>
      <c r="K41" s="156" t="n">
        <v>0</v>
      </c>
      <c r="L41" s="156" t="n">
        <v>0</v>
      </c>
      <c r="M41" s="156" t="n">
        <v>0</v>
      </c>
      <c r="N41" s="156" t="n">
        <v>0</v>
      </c>
      <c r="O41" s="156" t="n">
        <v>0</v>
      </c>
      <c r="P41" s="156" t="n">
        <v>0</v>
      </c>
      <c r="Q41" s="156" t="n">
        <v>0</v>
      </c>
      <c r="R41" s="156" t="n">
        <v>0</v>
      </c>
      <c r="S41" s="156" t="n">
        <v>0</v>
      </c>
      <c r="T41" s="156" t="n">
        <v>0</v>
      </c>
      <c r="U41" s="156" t="n">
        <v>0</v>
      </c>
      <c r="V41" s="156" t="n">
        <v>0</v>
      </c>
      <c r="W41" s="156" t="n">
        <v>0</v>
      </c>
      <c r="X41" s="156" t="n">
        <v>0</v>
      </c>
      <c r="Y41" s="156" t="n">
        <v>0</v>
      </c>
      <c r="Z41" s="156" t="n">
        <v>0</v>
      </c>
      <c r="AA41" s="156" t="n">
        <v>0</v>
      </c>
      <c r="AB41" s="156" t="n">
        <v>0</v>
      </c>
      <c r="AC41" s="156" t="n">
        <v>0</v>
      </c>
      <c r="AD41" s="650" t="n">
        <f aca="false">$C$41/8</f>
        <v>285.8308125</v>
      </c>
      <c r="AE41" s="650" t="n">
        <f aca="false">$C$41/8</f>
        <v>285.8308125</v>
      </c>
      <c r="AF41" s="650" t="n">
        <f aca="false">$C$41/8</f>
        <v>285.8308125</v>
      </c>
      <c r="AG41" s="650" t="n">
        <f aca="false">$C$41/8</f>
        <v>285.8308125</v>
      </c>
      <c r="AH41" s="650" t="n">
        <f aca="false">$C$41/8</f>
        <v>285.8308125</v>
      </c>
      <c r="AI41" s="650" t="n">
        <f aca="false">$C$41/8</f>
        <v>285.8308125</v>
      </c>
      <c r="AJ41" s="650" t="n">
        <f aca="false">$C$41/8</f>
        <v>285.8308125</v>
      </c>
      <c r="AK41" s="650" t="n">
        <f aca="false">$C$41/8</f>
        <v>285.8308125</v>
      </c>
      <c r="AL41" s="156" t="n">
        <v>0</v>
      </c>
      <c r="AM41" s="156" t="n">
        <v>0</v>
      </c>
      <c r="AN41" s="156" t="n">
        <v>0</v>
      </c>
      <c r="AO41" s="84"/>
      <c r="AP41" s="482" t="n">
        <f aca="false">SUM(E41:AO41)</f>
        <v>2286.6465</v>
      </c>
      <c r="AQ41" s="648" t="n">
        <f aca="false">AQ40+1</f>
        <v>35</v>
      </c>
      <c r="AR41" s="635"/>
      <c r="AS41" s="635"/>
      <c r="AT41" s="635"/>
      <c r="AU41" s="635"/>
      <c r="AV41" s="635"/>
      <c r="AW41" s="635"/>
      <c r="AX41" s="635"/>
      <c r="AY41" s="635"/>
      <c r="AZ41" s="635"/>
      <c r="BA41" s="635"/>
      <c r="BB41" s="635"/>
      <c r="BC41" s="635"/>
      <c r="BD41" s="635"/>
      <c r="BE41" s="635"/>
      <c r="BF41" s="635"/>
      <c r="BG41" s="635"/>
      <c r="BH41" s="635"/>
      <c r="BI41" s="635"/>
      <c r="BJ41" s="635"/>
      <c r="BK41" s="635"/>
      <c r="BL41" s="635"/>
      <c r="BM41" s="635"/>
      <c r="BN41" s="635"/>
      <c r="BO41" s="635"/>
      <c r="BP41" s="635"/>
      <c r="BQ41" s="635"/>
      <c r="BR41" s="635"/>
      <c r="BS41" s="635"/>
      <c r="BT41" s="635"/>
      <c r="BU41" s="635"/>
      <c r="BV41" s="635"/>
      <c r="BW41" s="635"/>
      <c r="BX41" s="635"/>
      <c r="BY41" s="635"/>
      <c r="BZ41" s="635"/>
      <c r="CA41" s="635"/>
      <c r="CB41" s="635"/>
      <c r="CC41" s="635"/>
      <c r="CD41" s="635"/>
      <c r="CE41" s="635"/>
      <c r="CF41" s="635"/>
      <c r="CG41" s="635"/>
      <c r="CH41" s="635"/>
      <c r="CI41" s="635"/>
      <c r="CJ41" s="635"/>
      <c r="CK41" s="635"/>
      <c r="CL41" s="635"/>
      <c r="CM41" s="635"/>
      <c r="CN41" s="635"/>
      <c r="CO41" s="635"/>
      <c r="CP41" s="635"/>
      <c r="CQ41" s="635"/>
      <c r="CR41" s="635"/>
      <c r="CS41" s="635"/>
      <c r="CT41" s="635"/>
      <c r="CU41" s="635"/>
      <c r="CV41" s="635"/>
      <c r="CW41" s="635"/>
      <c r="CX41" s="635"/>
      <c r="CY41" s="635"/>
      <c r="CZ41" s="635"/>
      <c r="DA41" s="635"/>
      <c r="DB41" s="635"/>
      <c r="DC41" s="635"/>
      <c r="DD41" s="635"/>
      <c r="DE41" s="635"/>
      <c r="DF41" s="635"/>
      <c r="DG41" s="635"/>
      <c r="DH41" s="635"/>
      <c r="DI41" s="635"/>
      <c r="DJ41" s="635"/>
      <c r="DK41" s="635"/>
      <c r="DL41" s="635"/>
      <c r="DM41" s="635"/>
      <c r="DN41" s="635"/>
      <c r="DO41" s="635"/>
      <c r="DP41" s="635"/>
      <c r="DQ41" s="635"/>
      <c r="DR41" s="635"/>
      <c r="DS41" s="635"/>
      <c r="DT41" s="635"/>
      <c r="DU41" s="635"/>
      <c r="DV41" s="635"/>
      <c r="DW41" s="635"/>
      <c r="DX41" s="635"/>
      <c r="DY41" s="635"/>
      <c r="DZ41" s="635"/>
      <c r="EA41" s="635"/>
      <c r="EB41" s="635"/>
      <c r="EC41" s="635"/>
      <c r="ED41" s="635"/>
      <c r="EE41" s="635"/>
      <c r="EF41" s="635"/>
      <c r="EG41" s="635"/>
      <c r="EH41" s="635"/>
      <c r="EI41" s="635"/>
      <c r="EJ41" s="635"/>
      <c r="EK41" s="635"/>
      <c r="EL41" s="635"/>
      <c r="EM41" s="635"/>
      <c r="EN41" s="635"/>
      <c r="EO41" s="635"/>
      <c r="EP41" s="635"/>
      <c r="EQ41" s="635"/>
      <c r="ER41" s="635"/>
      <c r="ES41" s="635"/>
      <c r="ET41" s="635"/>
      <c r="EU41" s="635"/>
      <c r="EV41" s="635"/>
      <c r="EW41" s="635"/>
      <c r="EX41" s="635"/>
      <c r="EY41" s="635"/>
      <c r="EZ41" s="635"/>
      <c r="FA41" s="635"/>
      <c r="FB41" s="635"/>
      <c r="FC41" s="635"/>
      <c r="FD41" s="635"/>
      <c r="FE41" s="635"/>
      <c r="FF41" s="635"/>
      <c r="FG41" s="635"/>
      <c r="FH41" s="635"/>
      <c r="FI41" s="635"/>
      <c r="FJ41" s="635"/>
      <c r="FK41" s="635"/>
      <c r="FL41" s="635"/>
      <c r="FM41" s="635"/>
      <c r="FN41" s="635"/>
      <c r="FO41" s="635"/>
      <c r="FP41" s="635"/>
      <c r="FQ41" s="635"/>
      <c r="FR41" s="635"/>
      <c r="FS41" s="635"/>
      <c r="FT41" s="635"/>
      <c r="FU41" s="635"/>
      <c r="FV41" s="635"/>
      <c r="FW41" s="635"/>
      <c r="FX41" s="635"/>
      <c r="FY41" s="635"/>
      <c r="FZ41" s="635"/>
      <c r="GA41" s="635"/>
      <c r="GB41" s="635"/>
      <c r="GC41" s="635"/>
      <c r="GD41" s="635"/>
      <c r="GE41" s="635"/>
      <c r="GF41" s="635"/>
      <c r="GG41" s="635"/>
      <c r="GH41" s="635"/>
      <c r="GI41" s="635"/>
      <c r="GJ41" s="635"/>
      <c r="GK41" s="635"/>
      <c r="GL41" s="635"/>
      <c r="GM41" s="635"/>
      <c r="GN41" s="635"/>
      <c r="GO41" s="635"/>
      <c r="GP41" s="635"/>
      <c r="GQ41" s="635"/>
      <c r="GR41" s="635"/>
      <c r="GS41" s="635"/>
      <c r="GT41" s="635"/>
      <c r="GU41" s="635"/>
      <c r="GV41" s="635"/>
      <c r="GW41" s="635"/>
      <c r="GX41" s="635"/>
      <c r="GY41" s="635"/>
      <c r="GZ41" s="635"/>
      <c r="HA41" s="635"/>
      <c r="HB41" s="635"/>
      <c r="HC41" s="635"/>
      <c r="HD41" s="635"/>
      <c r="HE41" s="635"/>
      <c r="HF41" s="635"/>
      <c r="HG41" s="635"/>
      <c r="HH41" s="635"/>
      <c r="HI41" s="635"/>
      <c r="HJ41" s="635"/>
      <c r="HK41" s="635"/>
      <c r="HL41" s="635"/>
      <c r="HM41" s="635"/>
      <c r="HN41" s="635"/>
      <c r="HO41" s="635"/>
      <c r="HP41" s="635"/>
      <c r="HQ41" s="635"/>
      <c r="HR41" s="635"/>
      <c r="HS41" s="635"/>
      <c r="HT41" s="635"/>
      <c r="HU41" s="635"/>
      <c r="HV41" s="635"/>
      <c r="HW41" s="635"/>
      <c r="HX41" s="635"/>
      <c r="HY41" s="635"/>
      <c r="HZ41" s="635"/>
      <c r="IA41" s="635"/>
      <c r="IB41" s="635"/>
      <c r="IC41" s="635"/>
      <c r="ID41" s="635"/>
      <c r="IE41" s="635"/>
      <c r="IF41" s="635"/>
      <c r="IG41" s="635"/>
      <c r="IH41" s="635"/>
      <c r="II41" s="635"/>
      <c r="IJ41" s="635"/>
      <c r="IK41" s="635"/>
      <c r="IL41" s="635"/>
      <c r="IM41" s="635"/>
      <c r="IN41" s="635"/>
      <c r="IO41" s="635"/>
      <c r="IP41" s="635"/>
      <c r="IQ41" s="635"/>
      <c r="IR41" s="635"/>
      <c r="IS41" s="635"/>
      <c r="IT41" s="635"/>
      <c r="IU41" s="635"/>
      <c r="IV41" s="635"/>
      <c r="IW41" s="635"/>
    </row>
    <row r="42" customFormat="false" ht="12.75" hidden="false" customHeight="false" outlineLevel="0" collapsed="false">
      <c r="A42" s="649" t="str">
        <f aca="false">Assm!N43</f>
        <v>Contingency</v>
      </c>
      <c r="B42" s="112"/>
      <c r="C42" s="484" t="n">
        <f aca="false">Assm!R43</f>
        <v>0</v>
      </c>
      <c r="D42" s="651"/>
      <c r="E42" s="177" t="n">
        <v>0</v>
      </c>
      <c r="F42" s="177" t="n">
        <v>0</v>
      </c>
      <c r="G42" s="177" t="n">
        <v>0</v>
      </c>
      <c r="H42" s="177" t="n">
        <v>0</v>
      </c>
      <c r="I42" s="177" t="n">
        <v>0</v>
      </c>
      <c r="J42" s="177" t="n">
        <v>0</v>
      </c>
      <c r="K42" s="177" t="n">
        <v>0</v>
      </c>
      <c r="L42" s="177" t="n">
        <v>0</v>
      </c>
      <c r="M42" s="177" t="n">
        <v>0</v>
      </c>
      <c r="N42" s="177" t="n">
        <v>0</v>
      </c>
      <c r="O42" s="177" t="n">
        <v>0</v>
      </c>
      <c r="P42" s="177" t="n">
        <v>0</v>
      </c>
      <c r="Q42" s="177" t="n">
        <v>0</v>
      </c>
      <c r="R42" s="177" t="n">
        <v>0</v>
      </c>
      <c r="S42" s="177" t="n">
        <v>0</v>
      </c>
      <c r="T42" s="177" t="n">
        <v>0</v>
      </c>
      <c r="U42" s="177" t="n">
        <v>0</v>
      </c>
      <c r="V42" s="177" t="n">
        <v>0</v>
      </c>
      <c r="W42" s="177" t="n">
        <v>0</v>
      </c>
      <c r="X42" s="177" t="n">
        <v>0</v>
      </c>
      <c r="Y42" s="177" t="n">
        <v>0</v>
      </c>
      <c r="Z42" s="177" t="n">
        <v>0</v>
      </c>
      <c r="AA42" s="177" t="n">
        <v>0</v>
      </c>
      <c r="AB42" s="177" t="n">
        <v>0</v>
      </c>
      <c r="AC42" s="177" t="n">
        <v>0</v>
      </c>
      <c r="AD42" s="653" t="n">
        <f aca="false">$C$42/8</f>
        <v>0</v>
      </c>
      <c r="AE42" s="653" t="n">
        <f aca="false">$C$42/8</f>
        <v>0</v>
      </c>
      <c r="AF42" s="653" t="n">
        <f aca="false">$C$42/8</f>
        <v>0</v>
      </c>
      <c r="AG42" s="653" t="n">
        <f aca="false">$C$42/8</f>
        <v>0</v>
      </c>
      <c r="AH42" s="653" t="n">
        <f aca="false">$C$42/8</f>
        <v>0</v>
      </c>
      <c r="AI42" s="653" t="n">
        <f aca="false">$C$42/8</f>
        <v>0</v>
      </c>
      <c r="AJ42" s="653" t="n">
        <f aca="false">$C$42/8</f>
        <v>0</v>
      </c>
      <c r="AK42" s="653" t="n">
        <f aca="false">$C$42/8</f>
        <v>0</v>
      </c>
      <c r="AL42" s="177" t="n">
        <v>0</v>
      </c>
      <c r="AM42" s="177" t="n">
        <v>0</v>
      </c>
      <c r="AN42" s="177" t="n">
        <v>0</v>
      </c>
      <c r="AO42" s="651"/>
      <c r="AP42" s="485" t="n">
        <f aca="false">SUM(E42:AO42)</f>
        <v>0</v>
      </c>
      <c r="AQ42" s="648" t="n">
        <f aca="false">AQ41+1</f>
        <v>36</v>
      </c>
      <c r="AR42" s="635"/>
      <c r="AS42" s="635"/>
      <c r="AT42" s="635"/>
      <c r="AU42" s="635"/>
      <c r="AV42" s="635"/>
      <c r="AW42" s="635"/>
      <c r="AX42" s="635"/>
      <c r="AY42" s="635"/>
      <c r="AZ42" s="635"/>
      <c r="BA42" s="635"/>
      <c r="BB42" s="635"/>
      <c r="BC42" s="635"/>
      <c r="BD42" s="635"/>
      <c r="BE42" s="635"/>
      <c r="BF42" s="635"/>
      <c r="BG42" s="635"/>
      <c r="BH42" s="635"/>
      <c r="BI42" s="635"/>
      <c r="BJ42" s="635"/>
      <c r="BK42" s="635"/>
      <c r="BL42" s="635"/>
      <c r="BM42" s="635"/>
      <c r="BN42" s="635"/>
      <c r="BO42" s="635"/>
      <c r="BP42" s="635"/>
      <c r="BQ42" s="635"/>
      <c r="BR42" s="635"/>
      <c r="BS42" s="635"/>
      <c r="BT42" s="635"/>
      <c r="BU42" s="635"/>
      <c r="BV42" s="635"/>
      <c r="BW42" s="635"/>
      <c r="BX42" s="635"/>
      <c r="BY42" s="635"/>
      <c r="BZ42" s="635"/>
      <c r="CA42" s="635"/>
      <c r="CB42" s="635"/>
      <c r="CC42" s="635"/>
      <c r="CD42" s="635"/>
      <c r="CE42" s="635"/>
      <c r="CF42" s="635"/>
      <c r="CG42" s="635"/>
      <c r="CH42" s="635"/>
      <c r="CI42" s="635"/>
      <c r="CJ42" s="635"/>
      <c r="CK42" s="635"/>
      <c r="CL42" s="635"/>
      <c r="CM42" s="635"/>
      <c r="CN42" s="635"/>
      <c r="CO42" s="635"/>
      <c r="CP42" s="635"/>
      <c r="CQ42" s="635"/>
      <c r="CR42" s="635"/>
      <c r="CS42" s="635"/>
      <c r="CT42" s="635"/>
      <c r="CU42" s="635"/>
      <c r="CV42" s="635"/>
      <c r="CW42" s="635"/>
      <c r="CX42" s="635"/>
      <c r="CY42" s="635"/>
      <c r="CZ42" s="635"/>
      <c r="DA42" s="635"/>
      <c r="DB42" s="635"/>
      <c r="DC42" s="635"/>
      <c r="DD42" s="635"/>
      <c r="DE42" s="635"/>
      <c r="DF42" s="635"/>
      <c r="DG42" s="635"/>
      <c r="DH42" s="635"/>
      <c r="DI42" s="635"/>
      <c r="DJ42" s="635"/>
      <c r="DK42" s="635"/>
      <c r="DL42" s="635"/>
      <c r="DM42" s="635"/>
      <c r="DN42" s="635"/>
      <c r="DO42" s="635"/>
      <c r="DP42" s="635"/>
      <c r="DQ42" s="635"/>
      <c r="DR42" s="635"/>
      <c r="DS42" s="635"/>
      <c r="DT42" s="635"/>
      <c r="DU42" s="635"/>
      <c r="DV42" s="635"/>
      <c r="DW42" s="635"/>
      <c r="DX42" s="635"/>
      <c r="DY42" s="635"/>
      <c r="DZ42" s="635"/>
      <c r="EA42" s="635"/>
      <c r="EB42" s="635"/>
      <c r="EC42" s="635"/>
      <c r="ED42" s="635"/>
      <c r="EE42" s="635"/>
      <c r="EF42" s="635"/>
      <c r="EG42" s="635"/>
      <c r="EH42" s="635"/>
      <c r="EI42" s="635"/>
      <c r="EJ42" s="635"/>
      <c r="EK42" s="635"/>
      <c r="EL42" s="635"/>
      <c r="EM42" s="635"/>
      <c r="EN42" s="635"/>
      <c r="EO42" s="635"/>
      <c r="EP42" s="635"/>
      <c r="EQ42" s="635"/>
      <c r="ER42" s="635"/>
      <c r="ES42" s="635"/>
      <c r="ET42" s="635"/>
      <c r="EU42" s="635"/>
      <c r="EV42" s="635"/>
      <c r="EW42" s="635"/>
      <c r="EX42" s="635"/>
      <c r="EY42" s="635"/>
      <c r="EZ42" s="635"/>
      <c r="FA42" s="635"/>
      <c r="FB42" s="635"/>
      <c r="FC42" s="635"/>
      <c r="FD42" s="635"/>
      <c r="FE42" s="635"/>
      <c r="FF42" s="635"/>
      <c r="FG42" s="635"/>
      <c r="FH42" s="635"/>
      <c r="FI42" s="635"/>
      <c r="FJ42" s="635"/>
      <c r="FK42" s="635"/>
      <c r="FL42" s="635"/>
      <c r="FM42" s="635"/>
      <c r="FN42" s="635"/>
      <c r="FO42" s="635"/>
      <c r="FP42" s="635"/>
      <c r="FQ42" s="635"/>
      <c r="FR42" s="635"/>
      <c r="FS42" s="635"/>
      <c r="FT42" s="635"/>
      <c r="FU42" s="635"/>
      <c r="FV42" s="635"/>
      <c r="FW42" s="635"/>
      <c r="FX42" s="635"/>
      <c r="FY42" s="635"/>
      <c r="FZ42" s="635"/>
      <c r="GA42" s="635"/>
      <c r="GB42" s="635"/>
      <c r="GC42" s="635"/>
      <c r="GD42" s="635"/>
      <c r="GE42" s="635"/>
      <c r="GF42" s="635"/>
      <c r="GG42" s="635"/>
      <c r="GH42" s="635"/>
      <c r="GI42" s="635"/>
      <c r="GJ42" s="635"/>
      <c r="GK42" s="635"/>
      <c r="GL42" s="635"/>
      <c r="GM42" s="635"/>
      <c r="GN42" s="635"/>
      <c r="GO42" s="635"/>
      <c r="GP42" s="635"/>
      <c r="GQ42" s="635"/>
      <c r="GR42" s="635"/>
      <c r="GS42" s="635"/>
      <c r="GT42" s="635"/>
      <c r="GU42" s="635"/>
      <c r="GV42" s="635"/>
      <c r="GW42" s="635"/>
      <c r="GX42" s="635"/>
      <c r="GY42" s="635"/>
      <c r="GZ42" s="635"/>
      <c r="HA42" s="635"/>
      <c r="HB42" s="635"/>
      <c r="HC42" s="635"/>
      <c r="HD42" s="635"/>
      <c r="HE42" s="635"/>
      <c r="HF42" s="635"/>
      <c r="HG42" s="635"/>
      <c r="HH42" s="635"/>
      <c r="HI42" s="635"/>
      <c r="HJ42" s="635"/>
      <c r="HK42" s="635"/>
      <c r="HL42" s="635"/>
      <c r="HM42" s="635"/>
      <c r="HN42" s="635"/>
      <c r="HO42" s="635"/>
      <c r="HP42" s="635"/>
      <c r="HQ42" s="635"/>
      <c r="HR42" s="635"/>
      <c r="HS42" s="635"/>
      <c r="HT42" s="635"/>
      <c r="HU42" s="635"/>
      <c r="HV42" s="635"/>
      <c r="HW42" s="635"/>
      <c r="HX42" s="635"/>
      <c r="HY42" s="635"/>
      <c r="HZ42" s="635"/>
      <c r="IA42" s="635"/>
      <c r="IB42" s="635"/>
      <c r="IC42" s="635"/>
      <c r="ID42" s="635"/>
      <c r="IE42" s="635"/>
      <c r="IF42" s="635"/>
      <c r="IG42" s="635"/>
      <c r="IH42" s="635"/>
      <c r="II42" s="635"/>
      <c r="IJ42" s="635"/>
      <c r="IK42" s="635"/>
      <c r="IL42" s="635"/>
      <c r="IM42" s="635"/>
      <c r="IN42" s="635"/>
      <c r="IO42" s="635"/>
      <c r="IP42" s="635"/>
      <c r="IQ42" s="635"/>
      <c r="IR42" s="635"/>
      <c r="IS42" s="635"/>
      <c r="IT42" s="635"/>
      <c r="IU42" s="635"/>
      <c r="IV42" s="635"/>
      <c r="IW42" s="635"/>
    </row>
    <row r="43" customFormat="false" ht="12.75" hidden="false" customHeight="false" outlineLevel="0" collapsed="false">
      <c r="A43" s="649" t="str">
        <f aca="false">Assm!N44</f>
        <v>Total Contingency</v>
      </c>
      <c r="B43" s="112"/>
      <c r="C43" s="174" t="n">
        <f aca="false">SUM(C41:C42)</f>
        <v>2286.6465</v>
      </c>
      <c r="D43" s="84"/>
      <c r="E43" s="174" t="n">
        <f aca="false">SUM(E41:E42)</f>
        <v>0</v>
      </c>
      <c r="F43" s="174" t="n">
        <f aca="false">SUM(F41:F42)</f>
        <v>0</v>
      </c>
      <c r="G43" s="174" t="n">
        <f aca="false">SUM(G41:G42)</f>
        <v>0</v>
      </c>
      <c r="H43" s="174" t="n">
        <f aca="false">SUM(H41:H42)</f>
        <v>0</v>
      </c>
      <c r="I43" s="174" t="n">
        <f aca="false">SUM(I41:I42)</f>
        <v>0</v>
      </c>
      <c r="J43" s="174" t="n">
        <f aca="false">SUM(J41:J42)</f>
        <v>0</v>
      </c>
      <c r="K43" s="174" t="n">
        <f aca="false">SUM(K41:K42)</f>
        <v>0</v>
      </c>
      <c r="L43" s="174" t="n">
        <f aca="false">SUM(L41:L42)</f>
        <v>0</v>
      </c>
      <c r="M43" s="174" t="n">
        <f aca="false">SUM(M41:M42)</f>
        <v>0</v>
      </c>
      <c r="N43" s="174" t="n">
        <f aca="false">SUM(N41:N42)</f>
        <v>0</v>
      </c>
      <c r="O43" s="174" t="n">
        <f aca="false">SUM(O41:O42)</f>
        <v>0</v>
      </c>
      <c r="P43" s="174" t="n">
        <f aca="false">SUM(P41:P42)</f>
        <v>0</v>
      </c>
      <c r="Q43" s="174" t="n">
        <f aca="false">SUM(Q41:Q42)</f>
        <v>0</v>
      </c>
      <c r="R43" s="174" t="n">
        <f aca="false">SUM(R41:R42)</f>
        <v>0</v>
      </c>
      <c r="S43" s="174" t="n">
        <f aca="false">SUM(S41:S42)</f>
        <v>0</v>
      </c>
      <c r="T43" s="174" t="n">
        <f aca="false">SUM(T41:T42)</f>
        <v>0</v>
      </c>
      <c r="U43" s="174" t="n">
        <f aca="false">SUM(U41:U42)</f>
        <v>0</v>
      </c>
      <c r="V43" s="174" t="n">
        <f aca="false">SUM(V41:V42)</f>
        <v>0</v>
      </c>
      <c r="W43" s="174" t="n">
        <f aca="false">SUM(W41:W42)</f>
        <v>0</v>
      </c>
      <c r="X43" s="174" t="n">
        <f aca="false">SUM(X41:X42)</f>
        <v>0</v>
      </c>
      <c r="Y43" s="174" t="n">
        <f aca="false">SUM(Y41:Y42)</f>
        <v>0</v>
      </c>
      <c r="Z43" s="174" t="n">
        <f aca="false">SUM(Z41:Z42)</f>
        <v>0</v>
      </c>
      <c r="AA43" s="174" t="n">
        <f aca="false">SUM(AA41:AA42)</f>
        <v>0</v>
      </c>
      <c r="AB43" s="174" t="n">
        <f aca="false">SUM(AB41:AB42)</f>
        <v>0</v>
      </c>
      <c r="AC43" s="174" t="n">
        <f aca="false">SUM(AC41:AC42)</f>
        <v>0</v>
      </c>
      <c r="AD43" s="174" t="n">
        <f aca="false">SUM(AD41:AD42)</f>
        <v>285.8308125</v>
      </c>
      <c r="AE43" s="174" t="n">
        <f aca="false">SUM(AE41:AE42)</f>
        <v>285.8308125</v>
      </c>
      <c r="AF43" s="174" t="n">
        <f aca="false">SUM(AF41:AF42)</f>
        <v>285.8308125</v>
      </c>
      <c r="AG43" s="174" t="n">
        <f aca="false">SUM(AG41:AG42)</f>
        <v>285.8308125</v>
      </c>
      <c r="AH43" s="174" t="n">
        <f aca="false">SUM(AH41:AH42)</f>
        <v>285.8308125</v>
      </c>
      <c r="AI43" s="174" t="n">
        <f aca="false">SUM(AI41:AI42)</f>
        <v>285.8308125</v>
      </c>
      <c r="AJ43" s="174" t="n">
        <f aca="false">SUM(AJ41:AJ42)</f>
        <v>285.8308125</v>
      </c>
      <c r="AK43" s="174" t="n">
        <f aca="false">SUM(AK41:AK42)</f>
        <v>285.8308125</v>
      </c>
      <c r="AL43" s="174" t="n">
        <f aca="false">SUM(AL41:AL42)</f>
        <v>0</v>
      </c>
      <c r="AM43" s="174" t="n">
        <f aca="false">SUM(AM41:AM42)</f>
        <v>0</v>
      </c>
      <c r="AN43" s="174" t="n">
        <f aca="false">SUM(AN41:AN42)</f>
        <v>0</v>
      </c>
      <c r="AO43" s="84"/>
      <c r="AP43" s="482" t="n">
        <f aca="false">SUM(E43:AO43)</f>
        <v>2286.6465</v>
      </c>
      <c r="AQ43" s="648" t="n">
        <f aca="false">AQ42+1</f>
        <v>37</v>
      </c>
      <c r="AR43" s="635"/>
      <c r="AS43" s="635"/>
      <c r="AT43" s="635"/>
      <c r="AU43" s="635"/>
      <c r="AV43" s="635"/>
      <c r="AW43" s="635"/>
      <c r="AX43" s="635"/>
      <c r="AY43" s="635"/>
      <c r="AZ43" s="635"/>
      <c r="BA43" s="635"/>
      <c r="BB43" s="635"/>
      <c r="BC43" s="635"/>
      <c r="BD43" s="635"/>
      <c r="BE43" s="635"/>
      <c r="BF43" s="635"/>
      <c r="BG43" s="635"/>
      <c r="BH43" s="635"/>
      <c r="BI43" s="635"/>
      <c r="BJ43" s="635"/>
      <c r="BK43" s="635"/>
      <c r="BL43" s="635"/>
      <c r="BM43" s="635"/>
      <c r="BN43" s="635"/>
      <c r="BO43" s="635"/>
      <c r="BP43" s="635"/>
      <c r="BQ43" s="635"/>
      <c r="BR43" s="635"/>
      <c r="BS43" s="635"/>
      <c r="BT43" s="635"/>
      <c r="BU43" s="635"/>
      <c r="BV43" s="635"/>
      <c r="BW43" s="635"/>
      <c r="BX43" s="635"/>
      <c r="BY43" s="635"/>
      <c r="BZ43" s="635"/>
      <c r="CA43" s="635"/>
      <c r="CB43" s="635"/>
      <c r="CC43" s="635"/>
      <c r="CD43" s="635"/>
      <c r="CE43" s="635"/>
      <c r="CF43" s="635"/>
      <c r="CG43" s="635"/>
      <c r="CH43" s="635"/>
      <c r="CI43" s="635"/>
      <c r="CJ43" s="635"/>
      <c r="CK43" s="635"/>
      <c r="CL43" s="635"/>
      <c r="CM43" s="635"/>
      <c r="CN43" s="635"/>
      <c r="CO43" s="635"/>
      <c r="CP43" s="635"/>
      <c r="CQ43" s="635"/>
      <c r="CR43" s="635"/>
      <c r="CS43" s="635"/>
      <c r="CT43" s="635"/>
      <c r="CU43" s="635"/>
      <c r="CV43" s="635"/>
      <c r="CW43" s="635"/>
      <c r="CX43" s="635"/>
      <c r="CY43" s="635"/>
      <c r="CZ43" s="635"/>
      <c r="DA43" s="635"/>
      <c r="DB43" s="635"/>
      <c r="DC43" s="635"/>
      <c r="DD43" s="635"/>
      <c r="DE43" s="635"/>
      <c r="DF43" s="635"/>
      <c r="DG43" s="635"/>
      <c r="DH43" s="635"/>
      <c r="DI43" s="635"/>
      <c r="DJ43" s="635"/>
      <c r="DK43" s="635"/>
      <c r="DL43" s="635"/>
      <c r="DM43" s="635"/>
      <c r="DN43" s="635"/>
      <c r="DO43" s="635"/>
      <c r="DP43" s="635"/>
      <c r="DQ43" s="635"/>
      <c r="DR43" s="635"/>
      <c r="DS43" s="635"/>
      <c r="DT43" s="635"/>
      <c r="DU43" s="635"/>
      <c r="DV43" s="635"/>
      <c r="DW43" s="635"/>
      <c r="DX43" s="635"/>
      <c r="DY43" s="635"/>
      <c r="DZ43" s="635"/>
      <c r="EA43" s="635"/>
      <c r="EB43" s="635"/>
      <c r="EC43" s="635"/>
      <c r="ED43" s="635"/>
      <c r="EE43" s="635"/>
      <c r="EF43" s="635"/>
      <c r="EG43" s="635"/>
      <c r="EH43" s="635"/>
      <c r="EI43" s="635"/>
      <c r="EJ43" s="635"/>
      <c r="EK43" s="635"/>
      <c r="EL43" s="635"/>
      <c r="EM43" s="635"/>
      <c r="EN43" s="635"/>
      <c r="EO43" s="635"/>
      <c r="EP43" s="635"/>
      <c r="EQ43" s="635"/>
      <c r="ER43" s="635"/>
      <c r="ES43" s="635"/>
      <c r="ET43" s="635"/>
      <c r="EU43" s="635"/>
      <c r="EV43" s="635"/>
      <c r="EW43" s="635"/>
      <c r="EX43" s="635"/>
      <c r="EY43" s="635"/>
      <c r="EZ43" s="635"/>
      <c r="FA43" s="635"/>
      <c r="FB43" s="635"/>
      <c r="FC43" s="635"/>
      <c r="FD43" s="635"/>
      <c r="FE43" s="635"/>
      <c r="FF43" s="635"/>
      <c r="FG43" s="635"/>
      <c r="FH43" s="635"/>
      <c r="FI43" s="635"/>
      <c r="FJ43" s="635"/>
      <c r="FK43" s="635"/>
      <c r="FL43" s="635"/>
      <c r="FM43" s="635"/>
      <c r="FN43" s="635"/>
      <c r="FO43" s="635"/>
      <c r="FP43" s="635"/>
      <c r="FQ43" s="635"/>
      <c r="FR43" s="635"/>
      <c r="FS43" s="635"/>
      <c r="FT43" s="635"/>
      <c r="FU43" s="635"/>
      <c r="FV43" s="635"/>
      <c r="FW43" s="635"/>
      <c r="FX43" s="635"/>
      <c r="FY43" s="635"/>
      <c r="FZ43" s="635"/>
      <c r="GA43" s="635"/>
      <c r="GB43" s="635"/>
      <c r="GC43" s="635"/>
      <c r="GD43" s="635"/>
      <c r="GE43" s="635"/>
      <c r="GF43" s="635"/>
      <c r="GG43" s="635"/>
      <c r="GH43" s="635"/>
      <c r="GI43" s="635"/>
      <c r="GJ43" s="635"/>
      <c r="GK43" s="635"/>
      <c r="GL43" s="635"/>
      <c r="GM43" s="635"/>
      <c r="GN43" s="635"/>
      <c r="GO43" s="635"/>
      <c r="GP43" s="635"/>
      <c r="GQ43" s="635"/>
      <c r="GR43" s="635"/>
      <c r="GS43" s="635"/>
      <c r="GT43" s="635"/>
      <c r="GU43" s="635"/>
      <c r="GV43" s="635"/>
      <c r="GW43" s="635"/>
      <c r="GX43" s="635"/>
      <c r="GY43" s="635"/>
      <c r="GZ43" s="635"/>
      <c r="HA43" s="635"/>
      <c r="HB43" s="635"/>
      <c r="HC43" s="635"/>
      <c r="HD43" s="635"/>
      <c r="HE43" s="635"/>
      <c r="HF43" s="635"/>
      <c r="HG43" s="635"/>
      <c r="HH43" s="635"/>
      <c r="HI43" s="635"/>
      <c r="HJ43" s="635"/>
      <c r="HK43" s="635"/>
      <c r="HL43" s="635"/>
      <c r="HM43" s="635"/>
      <c r="HN43" s="635"/>
      <c r="HO43" s="635"/>
      <c r="HP43" s="635"/>
      <c r="HQ43" s="635"/>
      <c r="HR43" s="635"/>
      <c r="HS43" s="635"/>
      <c r="HT43" s="635"/>
      <c r="HU43" s="635"/>
      <c r="HV43" s="635"/>
      <c r="HW43" s="635"/>
      <c r="HX43" s="635"/>
      <c r="HY43" s="635"/>
      <c r="HZ43" s="635"/>
      <c r="IA43" s="635"/>
      <c r="IB43" s="635"/>
      <c r="IC43" s="635"/>
      <c r="ID43" s="635"/>
      <c r="IE43" s="635"/>
      <c r="IF43" s="635"/>
      <c r="IG43" s="635"/>
      <c r="IH43" s="635"/>
      <c r="II43" s="635"/>
      <c r="IJ43" s="635"/>
      <c r="IK43" s="635"/>
      <c r="IL43" s="635"/>
      <c r="IM43" s="635"/>
      <c r="IN43" s="635"/>
      <c r="IO43" s="635"/>
      <c r="IP43" s="635"/>
      <c r="IQ43" s="635"/>
      <c r="IR43" s="635"/>
      <c r="IS43" s="635"/>
      <c r="IT43" s="635"/>
      <c r="IU43" s="635"/>
      <c r="IV43" s="635"/>
      <c r="IW43" s="635"/>
    </row>
    <row r="44" customFormat="false" ht="12.75" hidden="false" customHeight="false" outlineLevel="0" collapsed="false">
      <c r="A44" s="649"/>
      <c r="B44" s="112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647"/>
      <c r="AQ44" s="648" t="n">
        <f aca="false">AQ43+1</f>
        <v>38</v>
      </c>
      <c r="AR44" s="655"/>
      <c r="AS44" s="656" t="s">
        <v>77</v>
      </c>
      <c r="AT44" s="657"/>
      <c r="AU44" s="635"/>
      <c r="AV44" s="635"/>
      <c r="AW44" s="635"/>
      <c r="AX44" s="635"/>
      <c r="AY44" s="635"/>
      <c r="AZ44" s="635"/>
      <c r="BA44" s="635"/>
      <c r="BB44" s="635"/>
      <c r="BC44" s="635"/>
      <c r="BD44" s="635"/>
      <c r="BE44" s="635"/>
      <c r="BF44" s="635"/>
      <c r="BG44" s="635"/>
      <c r="BH44" s="635"/>
      <c r="BI44" s="635"/>
      <c r="BJ44" s="635"/>
      <c r="BK44" s="635"/>
      <c r="BL44" s="635"/>
      <c r="BM44" s="635"/>
      <c r="BN44" s="635"/>
      <c r="BO44" s="635"/>
      <c r="BP44" s="635"/>
      <c r="BQ44" s="635"/>
      <c r="BR44" s="635"/>
      <c r="BS44" s="635"/>
      <c r="BT44" s="635"/>
      <c r="BU44" s="635"/>
      <c r="BV44" s="635"/>
      <c r="BW44" s="635"/>
      <c r="BX44" s="635"/>
      <c r="BY44" s="635"/>
      <c r="BZ44" s="635"/>
      <c r="CA44" s="635"/>
      <c r="CB44" s="635"/>
      <c r="CC44" s="635"/>
      <c r="CD44" s="635"/>
      <c r="CE44" s="635"/>
      <c r="CF44" s="635"/>
      <c r="CG44" s="635"/>
      <c r="CH44" s="635"/>
      <c r="CI44" s="635"/>
      <c r="CJ44" s="635"/>
      <c r="CK44" s="635"/>
      <c r="CL44" s="635"/>
      <c r="CM44" s="635"/>
      <c r="CN44" s="635"/>
      <c r="CO44" s="635"/>
      <c r="CP44" s="635"/>
      <c r="CQ44" s="635"/>
      <c r="CR44" s="635"/>
      <c r="CS44" s="635"/>
      <c r="CT44" s="635"/>
      <c r="CU44" s="635"/>
      <c r="CV44" s="635"/>
      <c r="CW44" s="635"/>
      <c r="CX44" s="635"/>
      <c r="CY44" s="635"/>
      <c r="CZ44" s="635"/>
      <c r="DA44" s="635"/>
      <c r="DB44" s="635"/>
      <c r="DC44" s="635"/>
      <c r="DD44" s="635"/>
      <c r="DE44" s="635"/>
      <c r="DF44" s="635"/>
      <c r="DG44" s="635"/>
      <c r="DH44" s="635"/>
      <c r="DI44" s="635"/>
      <c r="DJ44" s="635"/>
      <c r="DK44" s="635"/>
      <c r="DL44" s="635"/>
      <c r="DM44" s="635"/>
      <c r="DN44" s="635"/>
      <c r="DO44" s="635"/>
      <c r="DP44" s="635"/>
      <c r="DQ44" s="635"/>
      <c r="DR44" s="635"/>
      <c r="DS44" s="635"/>
      <c r="DT44" s="635"/>
      <c r="DU44" s="635"/>
      <c r="DV44" s="635"/>
      <c r="DW44" s="635"/>
      <c r="DX44" s="635"/>
      <c r="DY44" s="635"/>
      <c r="DZ44" s="635"/>
      <c r="EA44" s="635"/>
      <c r="EB44" s="635"/>
      <c r="EC44" s="635"/>
      <c r="ED44" s="635"/>
      <c r="EE44" s="635"/>
      <c r="EF44" s="635"/>
      <c r="EG44" s="635"/>
      <c r="EH44" s="635"/>
      <c r="EI44" s="635"/>
      <c r="EJ44" s="635"/>
      <c r="EK44" s="635"/>
      <c r="EL44" s="635"/>
      <c r="EM44" s="635"/>
      <c r="EN44" s="635"/>
      <c r="EO44" s="635"/>
      <c r="EP44" s="635"/>
      <c r="EQ44" s="635"/>
      <c r="ER44" s="635"/>
      <c r="ES44" s="635"/>
      <c r="ET44" s="635"/>
      <c r="EU44" s="635"/>
      <c r="EV44" s="635"/>
      <c r="EW44" s="635"/>
      <c r="EX44" s="635"/>
      <c r="EY44" s="635"/>
      <c r="EZ44" s="635"/>
      <c r="FA44" s="635"/>
      <c r="FB44" s="635"/>
      <c r="FC44" s="635"/>
      <c r="FD44" s="635"/>
      <c r="FE44" s="635"/>
      <c r="FF44" s="635"/>
      <c r="FG44" s="635"/>
      <c r="FH44" s="635"/>
      <c r="FI44" s="635"/>
      <c r="FJ44" s="635"/>
      <c r="FK44" s="635"/>
      <c r="FL44" s="635"/>
      <c r="FM44" s="635"/>
      <c r="FN44" s="635"/>
      <c r="FO44" s="635"/>
      <c r="FP44" s="635"/>
      <c r="FQ44" s="635"/>
      <c r="FR44" s="635"/>
      <c r="FS44" s="635"/>
      <c r="FT44" s="635"/>
      <c r="FU44" s="635"/>
      <c r="FV44" s="635"/>
      <c r="FW44" s="635"/>
      <c r="FX44" s="635"/>
      <c r="FY44" s="635"/>
      <c r="FZ44" s="635"/>
      <c r="GA44" s="635"/>
      <c r="GB44" s="635"/>
      <c r="GC44" s="635"/>
      <c r="GD44" s="635"/>
      <c r="GE44" s="635"/>
      <c r="GF44" s="635"/>
      <c r="GG44" s="635"/>
      <c r="GH44" s="635"/>
      <c r="GI44" s="635"/>
      <c r="GJ44" s="635"/>
      <c r="GK44" s="635"/>
      <c r="GL44" s="635"/>
      <c r="GM44" s="635"/>
      <c r="GN44" s="635"/>
      <c r="GO44" s="635"/>
      <c r="GP44" s="635"/>
      <c r="GQ44" s="635"/>
      <c r="GR44" s="635"/>
      <c r="GS44" s="635"/>
      <c r="GT44" s="635"/>
      <c r="GU44" s="635"/>
      <c r="GV44" s="635"/>
      <c r="GW44" s="635"/>
      <c r="GX44" s="635"/>
      <c r="GY44" s="635"/>
      <c r="GZ44" s="635"/>
      <c r="HA44" s="635"/>
      <c r="HB44" s="635"/>
      <c r="HC44" s="635"/>
      <c r="HD44" s="635"/>
      <c r="HE44" s="635"/>
      <c r="HF44" s="635"/>
      <c r="HG44" s="635"/>
      <c r="HH44" s="635"/>
      <c r="HI44" s="635"/>
      <c r="HJ44" s="635"/>
      <c r="HK44" s="635"/>
      <c r="HL44" s="635"/>
      <c r="HM44" s="635"/>
      <c r="HN44" s="635"/>
      <c r="HO44" s="635"/>
      <c r="HP44" s="635"/>
      <c r="HQ44" s="635"/>
      <c r="HR44" s="635"/>
      <c r="HS44" s="635"/>
      <c r="HT44" s="635"/>
      <c r="HU44" s="635"/>
      <c r="HV44" s="635"/>
      <c r="HW44" s="635"/>
      <c r="HX44" s="635"/>
      <c r="HY44" s="635"/>
      <c r="HZ44" s="635"/>
      <c r="IA44" s="635"/>
      <c r="IB44" s="635"/>
      <c r="IC44" s="635"/>
      <c r="ID44" s="635"/>
      <c r="IE44" s="635"/>
      <c r="IF44" s="635"/>
      <c r="IG44" s="635"/>
      <c r="IH44" s="635"/>
      <c r="II44" s="635"/>
      <c r="IJ44" s="635"/>
      <c r="IK44" s="635"/>
      <c r="IL44" s="635"/>
      <c r="IM44" s="635"/>
      <c r="IN44" s="635"/>
      <c r="IO44" s="635"/>
      <c r="IP44" s="635"/>
      <c r="IQ44" s="635"/>
      <c r="IR44" s="635"/>
      <c r="IS44" s="635"/>
      <c r="IT44" s="635"/>
      <c r="IU44" s="635"/>
      <c r="IV44" s="635"/>
      <c r="IW44" s="635"/>
    </row>
    <row r="45" customFormat="false" ht="12.75" hidden="false" customHeight="false" outlineLevel="0" collapsed="false">
      <c r="A45" s="658" t="s">
        <v>77</v>
      </c>
      <c r="B45" s="659"/>
      <c r="C45" s="660" t="n">
        <f aca="false">Assm!R26</f>
        <v>12.5631028832684</v>
      </c>
      <c r="D45" s="661"/>
      <c r="E45" s="660" t="n">
        <f aca="false">IDC!E83</f>
        <v>0</v>
      </c>
      <c r="F45" s="660" t="n">
        <f aca="false">IDC!F83</f>
        <v>0</v>
      </c>
      <c r="G45" s="660" t="n">
        <f aca="false">IDC!G83</f>
        <v>0</v>
      </c>
      <c r="H45" s="660" t="n">
        <f aca="false">IDC!H83</f>
        <v>0</v>
      </c>
      <c r="I45" s="660" t="n">
        <f aca="false">IDC!I83</f>
        <v>0</v>
      </c>
      <c r="J45" s="660" t="n">
        <f aca="false">IDC!J83</f>
        <v>0</v>
      </c>
      <c r="K45" s="660" t="n">
        <f aca="false">IDC!K83</f>
        <v>0</v>
      </c>
      <c r="L45" s="660" t="n">
        <f aca="false">IDC!L83</f>
        <v>0</v>
      </c>
      <c r="M45" s="660" t="n">
        <f aca="false">IDC!M83</f>
        <v>0</v>
      </c>
      <c r="N45" s="660" t="n">
        <f aca="false">IDC!N83</f>
        <v>0</v>
      </c>
      <c r="O45" s="660" t="n">
        <f aca="false">IDC!O83</f>
        <v>0</v>
      </c>
      <c r="P45" s="660" t="n">
        <f aca="false">IDC!P83</f>
        <v>0</v>
      </c>
      <c r="Q45" s="660" t="n">
        <f aca="false">IDC!Q83</f>
        <v>0</v>
      </c>
      <c r="R45" s="660" t="n">
        <f aca="false">IDC!R83</f>
        <v>0</v>
      </c>
      <c r="S45" s="660" t="n">
        <f aca="false">IDC!S83</f>
        <v>0</v>
      </c>
      <c r="T45" s="660" t="n">
        <f aca="false">IDC!T83</f>
        <v>0</v>
      </c>
      <c r="U45" s="660" t="n">
        <f aca="false">IDC!U83</f>
        <v>0</v>
      </c>
      <c r="V45" s="660" t="n">
        <f aca="false">IDC!V83</f>
        <v>0</v>
      </c>
      <c r="W45" s="660" t="n">
        <f aca="false">IDC!W83</f>
        <v>0</v>
      </c>
      <c r="X45" s="660" t="n">
        <f aca="false">IDC!X83</f>
        <v>0</v>
      </c>
      <c r="Y45" s="660" t="n">
        <f aca="false">IDC!Y83</f>
        <v>0</v>
      </c>
      <c r="Z45" s="660" t="n">
        <f aca="false">IDC!Z83</f>
        <v>0</v>
      </c>
      <c r="AA45" s="660" t="n">
        <f aca="false">IDC!AA83</f>
        <v>0</v>
      </c>
      <c r="AB45" s="660" t="n">
        <f aca="false">IDC!AB83</f>
        <v>0</v>
      </c>
      <c r="AC45" s="660" t="n">
        <f aca="false">IDC!AC83</f>
        <v>0</v>
      </c>
      <c r="AD45" s="660" t="n">
        <f aca="false">IDC!AD83</f>
        <v>0</v>
      </c>
      <c r="AE45" s="660" t="n">
        <f aca="false">IDC!AE83</f>
        <v>0</v>
      </c>
      <c r="AF45" s="660" t="n">
        <f aca="false">IDC!AF83</f>
        <v>0</v>
      </c>
      <c r="AG45" s="660" t="n">
        <f aca="false">IDC!AG83</f>
        <v>0</v>
      </c>
      <c r="AH45" s="660" t="n">
        <f aca="false">IDC!AH83</f>
        <v>5.48859427728581</v>
      </c>
      <c r="AI45" s="660" t="n">
        <f aca="false">IDC!AI83</f>
        <v>3.88170272834859</v>
      </c>
      <c r="AJ45" s="660" t="n">
        <f aca="false">IDC!AJ83</f>
        <v>2.25932928946007</v>
      </c>
      <c r="AK45" s="660" t="n">
        <f aca="false">IDC!AK83</f>
        <v>0.621324797525468</v>
      </c>
      <c r="AL45" s="660" t="n">
        <f aca="false">IDC!AL83</f>
        <v>0.312151790648433</v>
      </c>
      <c r="AM45" s="660" t="n">
        <f aca="false">IDC!AM83</f>
        <v>-5.54223333892878E-015</v>
      </c>
      <c r="AN45" s="660" t="n">
        <f aca="false">IDC!AN83</f>
        <v>-5.54143367155008E-015</v>
      </c>
      <c r="AO45" s="661"/>
      <c r="AP45" s="662" t="n">
        <f aca="false">SUM(E45:AO45)</f>
        <v>12.5631028832684</v>
      </c>
      <c r="AQ45" s="663" t="n">
        <f aca="false">AQ44+1</f>
        <v>39</v>
      </c>
      <c r="AR45" s="664"/>
      <c r="AS45" s="665" t="s">
        <v>625</v>
      </c>
      <c r="AT45" s="666"/>
      <c r="AU45" s="667"/>
      <c r="AV45" s="667"/>
      <c r="AW45" s="667"/>
      <c r="AX45" s="667"/>
      <c r="AY45" s="667"/>
      <c r="AZ45" s="667"/>
      <c r="BA45" s="667"/>
      <c r="BB45" s="667"/>
      <c r="BC45" s="667"/>
      <c r="BD45" s="667"/>
      <c r="BE45" s="667"/>
      <c r="BF45" s="667"/>
      <c r="BG45" s="667"/>
      <c r="BH45" s="667"/>
      <c r="BI45" s="667"/>
      <c r="BJ45" s="667"/>
      <c r="BK45" s="667"/>
      <c r="BL45" s="667"/>
      <c r="BM45" s="667"/>
      <c r="BN45" s="667"/>
      <c r="BO45" s="667"/>
      <c r="BP45" s="667"/>
      <c r="BQ45" s="667"/>
      <c r="BR45" s="667"/>
      <c r="BS45" s="667"/>
      <c r="BT45" s="667"/>
      <c r="BU45" s="667"/>
      <c r="BV45" s="667"/>
      <c r="BW45" s="667"/>
      <c r="BX45" s="667"/>
      <c r="BY45" s="667"/>
      <c r="BZ45" s="667"/>
      <c r="CA45" s="667"/>
      <c r="CB45" s="667"/>
      <c r="CC45" s="667"/>
      <c r="CD45" s="667"/>
      <c r="CE45" s="667"/>
      <c r="CF45" s="667"/>
      <c r="CG45" s="667"/>
      <c r="CH45" s="667"/>
      <c r="CI45" s="667"/>
      <c r="CJ45" s="667"/>
      <c r="CK45" s="667"/>
      <c r="CL45" s="667"/>
      <c r="CM45" s="667"/>
      <c r="CN45" s="667"/>
      <c r="CO45" s="667"/>
      <c r="CP45" s="667"/>
      <c r="CQ45" s="667"/>
      <c r="CR45" s="667"/>
      <c r="CS45" s="667"/>
      <c r="CT45" s="667"/>
      <c r="CU45" s="667"/>
      <c r="CV45" s="667"/>
      <c r="CW45" s="667"/>
      <c r="CX45" s="667"/>
      <c r="CY45" s="667"/>
      <c r="CZ45" s="667"/>
      <c r="DA45" s="667"/>
      <c r="DB45" s="667"/>
      <c r="DC45" s="667"/>
      <c r="DD45" s="667"/>
      <c r="DE45" s="667"/>
      <c r="DF45" s="667"/>
      <c r="DG45" s="667"/>
      <c r="DH45" s="667"/>
      <c r="DI45" s="667"/>
      <c r="DJ45" s="667"/>
      <c r="DK45" s="667"/>
      <c r="DL45" s="667"/>
      <c r="DM45" s="667"/>
      <c r="DN45" s="667"/>
      <c r="DO45" s="667"/>
      <c r="DP45" s="667"/>
      <c r="DQ45" s="667"/>
      <c r="DR45" s="667"/>
      <c r="DS45" s="667"/>
      <c r="DT45" s="667"/>
      <c r="DU45" s="667"/>
      <c r="DV45" s="667"/>
      <c r="DW45" s="667"/>
      <c r="DX45" s="667"/>
      <c r="DY45" s="667"/>
      <c r="DZ45" s="667"/>
      <c r="EA45" s="667"/>
      <c r="EB45" s="667"/>
      <c r="EC45" s="667"/>
      <c r="ED45" s="667"/>
      <c r="EE45" s="667"/>
      <c r="EF45" s="667"/>
      <c r="EG45" s="667"/>
      <c r="EH45" s="667"/>
      <c r="EI45" s="667"/>
      <c r="EJ45" s="667"/>
      <c r="EK45" s="667"/>
      <c r="EL45" s="667"/>
      <c r="EM45" s="667"/>
      <c r="EN45" s="667"/>
      <c r="EO45" s="667"/>
      <c r="EP45" s="667"/>
      <c r="EQ45" s="667"/>
      <c r="ER45" s="667"/>
      <c r="ES45" s="667"/>
      <c r="ET45" s="667"/>
      <c r="EU45" s="667"/>
      <c r="EV45" s="667"/>
      <c r="EW45" s="667"/>
      <c r="EX45" s="667"/>
      <c r="EY45" s="667"/>
      <c r="EZ45" s="667"/>
      <c r="FA45" s="667"/>
      <c r="FB45" s="667"/>
      <c r="FC45" s="667"/>
      <c r="FD45" s="667"/>
      <c r="FE45" s="667"/>
      <c r="FF45" s="667"/>
      <c r="FG45" s="667"/>
      <c r="FH45" s="667"/>
      <c r="FI45" s="667"/>
      <c r="FJ45" s="667"/>
      <c r="FK45" s="667"/>
      <c r="FL45" s="667"/>
      <c r="FM45" s="667"/>
      <c r="FN45" s="667"/>
      <c r="FO45" s="667"/>
      <c r="FP45" s="667"/>
      <c r="FQ45" s="667"/>
      <c r="FR45" s="667"/>
      <c r="FS45" s="667"/>
      <c r="FT45" s="667"/>
      <c r="FU45" s="667"/>
      <c r="FV45" s="667"/>
      <c r="FW45" s="667"/>
      <c r="FX45" s="667"/>
      <c r="FY45" s="667"/>
      <c r="FZ45" s="667"/>
      <c r="GA45" s="667"/>
      <c r="GB45" s="667"/>
      <c r="GC45" s="667"/>
      <c r="GD45" s="667"/>
      <c r="GE45" s="667"/>
      <c r="GF45" s="667"/>
      <c r="GG45" s="667"/>
      <c r="GH45" s="667"/>
      <c r="GI45" s="667"/>
      <c r="GJ45" s="667"/>
      <c r="GK45" s="667"/>
      <c r="GL45" s="667"/>
      <c r="GM45" s="667"/>
      <c r="GN45" s="667"/>
      <c r="GO45" s="667"/>
      <c r="GP45" s="667"/>
      <c r="GQ45" s="667"/>
      <c r="GR45" s="667"/>
      <c r="GS45" s="667"/>
      <c r="GT45" s="667"/>
      <c r="GU45" s="667"/>
      <c r="GV45" s="667"/>
      <c r="GW45" s="667"/>
      <c r="GX45" s="667"/>
      <c r="GY45" s="667"/>
      <c r="GZ45" s="667"/>
      <c r="HA45" s="667"/>
      <c r="HB45" s="667"/>
      <c r="HC45" s="667"/>
      <c r="HD45" s="667"/>
      <c r="HE45" s="667"/>
      <c r="HF45" s="667"/>
      <c r="HG45" s="667"/>
      <c r="HH45" s="667"/>
      <c r="HI45" s="667"/>
      <c r="HJ45" s="667"/>
      <c r="HK45" s="667"/>
      <c r="HL45" s="667"/>
      <c r="HM45" s="667"/>
      <c r="HN45" s="667"/>
      <c r="HO45" s="667"/>
      <c r="HP45" s="667"/>
      <c r="HQ45" s="667"/>
      <c r="HR45" s="667"/>
      <c r="HS45" s="667"/>
      <c r="HT45" s="667"/>
      <c r="HU45" s="667"/>
      <c r="HV45" s="667"/>
      <c r="HW45" s="667"/>
      <c r="HX45" s="667"/>
      <c r="HY45" s="667"/>
      <c r="HZ45" s="667"/>
      <c r="IA45" s="667"/>
      <c r="IB45" s="667"/>
      <c r="IC45" s="667"/>
      <c r="ID45" s="667"/>
      <c r="IE45" s="667"/>
      <c r="IF45" s="667"/>
      <c r="IG45" s="667"/>
      <c r="IH45" s="667"/>
      <c r="II45" s="667"/>
      <c r="IJ45" s="667"/>
      <c r="IK45" s="667"/>
      <c r="IL45" s="667"/>
      <c r="IM45" s="667"/>
      <c r="IN45" s="667"/>
      <c r="IO45" s="667"/>
      <c r="IP45" s="667"/>
      <c r="IQ45" s="667"/>
      <c r="IR45" s="667"/>
      <c r="IS45" s="667"/>
      <c r="IT45" s="667"/>
      <c r="IU45" s="667"/>
      <c r="IV45" s="667"/>
      <c r="IW45" s="667"/>
    </row>
    <row r="46" customFormat="false" ht="12.75" hidden="false" customHeight="false" outlineLevel="0" collapsed="false">
      <c r="A46" s="649" t="s">
        <v>626</v>
      </c>
      <c r="B46" s="112"/>
      <c r="C46" s="174" t="n">
        <f aca="false">SUM(C45)</f>
        <v>12.5631028832684</v>
      </c>
      <c r="D46" s="84"/>
      <c r="E46" s="174" t="n">
        <f aca="false">SUM(E45)</f>
        <v>0</v>
      </c>
      <c r="F46" s="174" t="n">
        <f aca="false">SUM(F45)</f>
        <v>0</v>
      </c>
      <c r="G46" s="174" t="n">
        <f aca="false">SUM(G45)</f>
        <v>0</v>
      </c>
      <c r="H46" s="174" t="n">
        <f aca="false">SUM(H45)</f>
        <v>0</v>
      </c>
      <c r="I46" s="174" t="n">
        <f aca="false">SUM(I45)</f>
        <v>0</v>
      </c>
      <c r="J46" s="174" t="n">
        <f aca="false">SUM(J45)</f>
        <v>0</v>
      </c>
      <c r="K46" s="174" t="n">
        <f aca="false">SUM(K45)</f>
        <v>0</v>
      </c>
      <c r="L46" s="174" t="n">
        <f aca="false">SUM(L45)</f>
        <v>0</v>
      </c>
      <c r="M46" s="174" t="n">
        <f aca="false">SUM(M45)</f>
        <v>0</v>
      </c>
      <c r="N46" s="174" t="n">
        <f aca="false">SUM(N45)</f>
        <v>0</v>
      </c>
      <c r="O46" s="174" t="n">
        <f aca="false">SUM(O45)</f>
        <v>0</v>
      </c>
      <c r="P46" s="174" t="n">
        <f aca="false">SUM(P45)</f>
        <v>0</v>
      </c>
      <c r="Q46" s="174" t="n">
        <f aca="false">SUM(Q45)</f>
        <v>0</v>
      </c>
      <c r="R46" s="174" t="n">
        <f aca="false">SUM(R45)</f>
        <v>0</v>
      </c>
      <c r="S46" s="174" t="n">
        <f aca="false">SUM(S45)</f>
        <v>0</v>
      </c>
      <c r="T46" s="174" t="n">
        <f aca="false">SUM(T45)</f>
        <v>0</v>
      </c>
      <c r="U46" s="174" t="n">
        <f aca="false">SUM(U45)</f>
        <v>0</v>
      </c>
      <c r="V46" s="174" t="n">
        <f aca="false">SUM(V45)</f>
        <v>0</v>
      </c>
      <c r="W46" s="174" t="n">
        <f aca="false">SUM(W45)</f>
        <v>0</v>
      </c>
      <c r="X46" s="174" t="n">
        <f aca="false">SUM(X45)</f>
        <v>0</v>
      </c>
      <c r="Y46" s="174" t="n">
        <f aca="false">SUM(Y45)</f>
        <v>0</v>
      </c>
      <c r="Z46" s="174" t="n">
        <f aca="false">SUM(Z45)</f>
        <v>0</v>
      </c>
      <c r="AA46" s="174" t="n">
        <f aca="false">SUM(AA45)</f>
        <v>0</v>
      </c>
      <c r="AB46" s="174" t="n">
        <f aca="false">SUM(AB45)</f>
        <v>0</v>
      </c>
      <c r="AC46" s="174" t="n">
        <f aca="false">SUM(AC45)</f>
        <v>0</v>
      </c>
      <c r="AD46" s="174" t="n">
        <f aca="false">SUM(AD45)</f>
        <v>0</v>
      </c>
      <c r="AE46" s="174" t="n">
        <f aca="false">SUM(AE45)</f>
        <v>0</v>
      </c>
      <c r="AF46" s="174" t="n">
        <f aca="false">SUM(AF45)</f>
        <v>0</v>
      </c>
      <c r="AG46" s="174" t="n">
        <f aca="false">SUM(AG45)</f>
        <v>0</v>
      </c>
      <c r="AH46" s="174" t="n">
        <f aca="false">SUM(AH45)</f>
        <v>5.48859427728581</v>
      </c>
      <c r="AI46" s="174" t="n">
        <f aca="false">SUM(AI45)</f>
        <v>3.88170272834859</v>
      </c>
      <c r="AJ46" s="174" t="n">
        <f aca="false">SUM(AJ45)</f>
        <v>2.25932928946007</v>
      </c>
      <c r="AK46" s="174" t="n">
        <f aca="false">SUM(AK45)</f>
        <v>0.621324797525468</v>
      </c>
      <c r="AL46" s="174" t="n">
        <f aca="false">SUM(AL45)</f>
        <v>0.312151790648433</v>
      </c>
      <c r="AM46" s="174" t="n">
        <f aca="false">SUM(AM45)</f>
        <v>-5.54223333892878E-015</v>
      </c>
      <c r="AN46" s="174" t="n">
        <f aca="false">SUM(AN45)</f>
        <v>-5.54143367155008E-015</v>
      </c>
      <c r="AO46" s="84"/>
      <c r="AP46" s="482" t="n">
        <f aca="false">SUM(E46:AO46)</f>
        <v>12.5631028832684</v>
      </c>
      <c r="AQ46" s="648" t="n">
        <f aca="false">AQ45+1</f>
        <v>40</v>
      </c>
      <c r="AR46" s="668"/>
      <c r="AS46" s="669" t="n">
        <f aca="false">IF($AP$45=0,0,IF(ABS(AP46-IDC!AO84)&lt;0.005,0,1))</f>
        <v>0</v>
      </c>
      <c r="AT46" s="670"/>
      <c r="AU46" s="635"/>
      <c r="AV46" s="635"/>
      <c r="AW46" s="635"/>
      <c r="AX46" s="635"/>
      <c r="AY46" s="635"/>
      <c r="AZ46" s="635"/>
      <c r="BA46" s="635"/>
      <c r="BB46" s="635"/>
      <c r="BC46" s="635"/>
      <c r="BD46" s="635"/>
      <c r="BE46" s="635"/>
      <c r="BF46" s="635"/>
      <c r="BG46" s="635"/>
      <c r="BH46" s="635"/>
      <c r="BI46" s="635"/>
      <c r="BJ46" s="635"/>
      <c r="BK46" s="635"/>
      <c r="BL46" s="635"/>
      <c r="BM46" s="635"/>
      <c r="BN46" s="635"/>
      <c r="BO46" s="635"/>
      <c r="BP46" s="635"/>
      <c r="BQ46" s="635"/>
      <c r="BR46" s="635"/>
      <c r="BS46" s="635"/>
      <c r="BT46" s="635"/>
      <c r="BU46" s="635"/>
      <c r="BV46" s="635"/>
      <c r="BW46" s="635"/>
      <c r="BX46" s="635"/>
      <c r="BY46" s="635"/>
      <c r="BZ46" s="635"/>
      <c r="CA46" s="635"/>
      <c r="CB46" s="635"/>
      <c r="CC46" s="635"/>
      <c r="CD46" s="635"/>
      <c r="CE46" s="635"/>
      <c r="CF46" s="635"/>
      <c r="CG46" s="635"/>
      <c r="CH46" s="635"/>
      <c r="CI46" s="635"/>
      <c r="CJ46" s="635"/>
      <c r="CK46" s="635"/>
      <c r="CL46" s="635"/>
      <c r="CM46" s="635"/>
      <c r="CN46" s="635"/>
      <c r="CO46" s="635"/>
      <c r="CP46" s="635"/>
      <c r="CQ46" s="635"/>
      <c r="CR46" s="635"/>
      <c r="CS46" s="635"/>
      <c r="CT46" s="635"/>
      <c r="CU46" s="635"/>
      <c r="CV46" s="635"/>
      <c r="CW46" s="635"/>
      <c r="CX46" s="635"/>
      <c r="CY46" s="635"/>
      <c r="CZ46" s="635"/>
      <c r="DA46" s="635"/>
      <c r="DB46" s="635"/>
      <c r="DC46" s="635"/>
      <c r="DD46" s="635"/>
      <c r="DE46" s="635"/>
      <c r="DF46" s="635"/>
      <c r="DG46" s="635"/>
      <c r="DH46" s="635"/>
      <c r="DI46" s="635"/>
      <c r="DJ46" s="635"/>
      <c r="DK46" s="635"/>
      <c r="DL46" s="635"/>
      <c r="DM46" s="635"/>
      <c r="DN46" s="635"/>
      <c r="DO46" s="635"/>
      <c r="DP46" s="635"/>
      <c r="DQ46" s="635"/>
      <c r="DR46" s="635"/>
      <c r="DS46" s="635"/>
      <c r="DT46" s="635"/>
      <c r="DU46" s="635"/>
      <c r="DV46" s="635"/>
      <c r="DW46" s="635"/>
      <c r="DX46" s="635"/>
      <c r="DY46" s="635"/>
      <c r="DZ46" s="635"/>
      <c r="EA46" s="635"/>
      <c r="EB46" s="635"/>
      <c r="EC46" s="635"/>
      <c r="ED46" s="635"/>
      <c r="EE46" s="635"/>
      <c r="EF46" s="635"/>
      <c r="EG46" s="635"/>
      <c r="EH46" s="635"/>
      <c r="EI46" s="635"/>
      <c r="EJ46" s="635"/>
      <c r="EK46" s="635"/>
      <c r="EL46" s="635"/>
      <c r="EM46" s="635"/>
      <c r="EN46" s="635"/>
      <c r="EO46" s="635"/>
      <c r="EP46" s="635"/>
      <c r="EQ46" s="635"/>
      <c r="ER46" s="635"/>
      <c r="ES46" s="635"/>
      <c r="ET46" s="635"/>
      <c r="EU46" s="635"/>
      <c r="EV46" s="635"/>
      <c r="EW46" s="635"/>
      <c r="EX46" s="635"/>
      <c r="EY46" s="635"/>
      <c r="EZ46" s="635"/>
      <c r="FA46" s="635"/>
      <c r="FB46" s="635"/>
      <c r="FC46" s="635"/>
      <c r="FD46" s="635"/>
      <c r="FE46" s="635"/>
      <c r="FF46" s="635"/>
      <c r="FG46" s="635"/>
      <c r="FH46" s="635"/>
      <c r="FI46" s="635"/>
      <c r="FJ46" s="635"/>
      <c r="FK46" s="635"/>
      <c r="FL46" s="635"/>
      <c r="FM46" s="635"/>
      <c r="FN46" s="635"/>
      <c r="FO46" s="635"/>
      <c r="FP46" s="635"/>
      <c r="FQ46" s="635"/>
      <c r="FR46" s="635"/>
      <c r="FS46" s="635"/>
      <c r="FT46" s="635"/>
      <c r="FU46" s="635"/>
      <c r="FV46" s="635"/>
      <c r="FW46" s="635"/>
      <c r="FX46" s="635"/>
      <c r="FY46" s="635"/>
      <c r="FZ46" s="635"/>
      <c r="GA46" s="635"/>
      <c r="GB46" s="635"/>
      <c r="GC46" s="635"/>
      <c r="GD46" s="635"/>
      <c r="GE46" s="635"/>
      <c r="GF46" s="635"/>
      <c r="GG46" s="635"/>
      <c r="GH46" s="635"/>
      <c r="GI46" s="635"/>
      <c r="GJ46" s="635"/>
      <c r="GK46" s="635"/>
      <c r="GL46" s="635"/>
      <c r="GM46" s="635"/>
      <c r="GN46" s="635"/>
      <c r="GO46" s="635"/>
      <c r="GP46" s="635"/>
      <c r="GQ46" s="635"/>
      <c r="GR46" s="635"/>
      <c r="GS46" s="635"/>
      <c r="GT46" s="635"/>
      <c r="GU46" s="635"/>
      <c r="GV46" s="635"/>
      <c r="GW46" s="635"/>
      <c r="GX46" s="635"/>
      <c r="GY46" s="635"/>
      <c r="GZ46" s="635"/>
      <c r="HA46" s="635"/>
      <c r="HB46" s="635"/>
      <c r="HC46" s="635"/>
      <c r="HD46" s="635"/>
      <c r="HE46" s="635"/>
      <c r="HF46" s="635"/>
      <c r="HG46" s="635"/>
      <c r="HH46" s="635"/>
      <c r="HI46" s="635"/>
      <c r="HJ46" s="635"/>
      <c r="HK46" s="635"/>
      <c r="HL46" s="635"/>
      <c r="HM46" s="635"/>
      <c r="HN46" s="635"/>
      <c r="HO46" s="635"/>
      <c r="HP46" s="635"/>
      <c r="HQ46" s="635"/>
      <c r="HR46" s="635"/>
      <c r="HS46" s="635"/>
      <c r="HT46" s="635"/>
      <c r="HU46" s="635"/>
      <c r="HV46" s="635"/>
      <c r="HW46" s="635"/>
      <c r="HX46" s="635"/>
      <c r="HY46" s="635"/>
      <c r="HZ46" s="635"/>
      <c r="IA46" s="635"/>
      <c r="IB46" s="635"/>
      <c r="IC46" s="635"/>
      <c r="ID46" s="635"/>
      <c r="IE46" s="635"/>
      <c r="IF46" s="635"/>
      <c r="IG46" s="635"/>
      <c r="IH46" s="635"/>
      <c r="II46" s="635"/>
      <c r="IJ46" s="635"/>
      <c r="IK46" s="635"/>
      <c r="IL46" s="635"/>
      <c r="IM46" s="635"/>
      <c r="IN46" s="635"/>
      <c r="IO46" s="635"/>
      <c r="IP46" s="635"/>
      <c r="IQ46" s="635"/>
      <c r="IR46" s="635"/>
      <c r="IS46" s="635"/>
      <c r="IT46" s="635"/>
      <c r="IU46" s="635"/>
      <c r="IV46" s="635"/>
      <c r="IW46" s="635"/>
    </row>
    <row r="47" customFormat="false" ht="12.75" hidden="false" customHeight="false" outlineLevel="0" collapsed="false">
      <c r="A47" s="649"/>
      <c r="B47" s="112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647"/>
      <c r="AQ47" s="648" t="n">
        <f aca="false">AQ46+1</f>
        <v>41</v>
      </c>
      <c r="AR47" s="635"/>
      <c r="AS47" s="635"/>
      <c r="AT47" s="635"/>
      <c r="AU47" s="635"/>
      <c r="AV47" s="635"/>
      <c r="AW47" s="635"/>
      <c r="AX47" s="635"/>
      <c r="AY47" s="635"/>
      <c r="AZ47" s="635"/>
      <c r="BA47" s="635"/>
      <c r="BB47" s="635"/>
      <c r="BC47" s="635"/>
      <c r="BD47" s="635"/>
      <c r="BE47" s="635"/>
      <c r="BF47" s="635"/>
      <c r="BG47" s="635"/>
      <c r="BH47" s="635"/>
      <c r="BI47" s="635"/>
      <c r="BJ47" s="635"/>
      <c r="BK47" s="635"/>
      <c r="BL47" s="635"/>
      <c r="BM47" s="635"/>
      <c r="BN47" s="635"/>
      <c r="BO47" s="635"/>
      <c r="BP47" s="635"/>
      <c r="BQ47" s="635"/>
      <c r="BR47" s="635"/>
      <c r="BS47" s="635"/>
      <c r="BT47" s="635"/>
      <c r="BU47" s="635"/>
      <c r="BV47" s="635"/>
      <c r="BW47" s="635"/>
      <c r="BX47" s="635"/>
      <c r="BY47" s="635"/>
      <c r="BZ47" s="635"/>
      <c r="CA47" s="635"/>
      <c r="CB47" s="635"/>
      <c r="CC47" s="635"/>
      <c r="CD47" s="635"/>
      <c r="CE47" s="635"/>
      <c r="CF47" s="635"/>
      <c r="CG47" s="635"/>
      <c r="CH47" s="635"/>
      <c r="CI47" s="635"/>
      <c r="CJ47" s="635"/>
      <c r="CK47" s="635"/>
      <c r="CL47" s="635"/>
      <c r="CM47" s="635"/>
      <c r="CN47" s="635"/>
      <c r="CO47" s="635"/>
      <c r="CP47" s="635"/>
      <c r="CQ47" s="635"/>
      <c r="CR47" s="635"/>
      <c r="CS47" s="635"/>
      <c r="CT47" s="635"/>
      <c r="CU47" s="635"/>
      <c r="CV47" s="635"/>
      <c r="CW47" s="635"/>
      <c r="CX47" s="635"/>
      <c r="CY47" s="635"/>
      <c r="CZ47" s="635"/>
      <c r="DA47" s="635"/>
      <c r="DB47" s="635"/>
      <c r="DC47" s="635"/>
      <c r="DD47" s="635"/>
      <c r="DE47" s="635"/>
      <c r="DF47" s="635"/>
      <c r="DG47" s="635"/>
      <c r="DH47" s="635"/>
      <c r="DI47" s="635"/>
      <c r="DJ47" s="635"/>
      <c r="DK47" s="635"/>
      <c r="DL47" s="635"/>
      <c r="DM47" s="635"/>
      <c r="DN47" s="635"/>
      <c r="DO47" s="635"/>
      <c r="DP47" s="635"/>
      <c r="DQ47" s="635"/>
      <c r="DR47" s="635"/>
      <c r="DS47" s="635"/>
      <c r="DT47" s="635"/>
      <c r="DU47" s="635"/>
      <c r="DV47" s="635"/>
      <c r="DW47" s="635"/>
      <c r="DX47" s="635"/>
      <c r="DY47" s="635"/>
      <c r="DZ47" s="635"/>
      <c r="EA47" s="635"/>
      <c r="EB47" s="635"/>
      <c r="EC47" s="635"/>
      <c r="ED47" s="635"/>
      <c r="EE47" s="635"/>
      <c r="EF47" s="635"/>
      <c r="EG47" s="635"/>
      <c r="EH47" s="635"/>
      <c r="EI47" s="635"/>
      <c r="EJ47" s="635"/>
      <c r="EK47" s="635"/>
      <c r="EL47" s="635"/>
      <c r="EM47" s="635"/>
      <c r="EN47" s="635"/>
      <c r="EO47" s="635"/>
      <c r="EP47" s="635"/>
      <c r="EQ47" s="635"/>
      <c r="ER47" s="635"/>
      <c r="ES47" s="635"/>
      <c r="ET47" s="635"/>
      <c r="EU47" s="635"/>
      <c r="EV47" s="635"/>
      <c r="EW47" s="635"/>
      <c r="EX47" s="635"/>
      <c r="EY47" s="635"/>
      <c r="EZ47" s="635"/>
      <c r="FA47" s="635"/>
      <c r="FB47" s="635"/>
      <c r="FC47" s="635"/>
      <c r="FD47" s="635"/>
      <c r="FE47" s="635"/>
      <c r="FF47" s="635"/>
      <c r="FG47" s="635"/>
      <c r="FH47" s="635"/>
      <c r="FI47" s="635"/>
      <c r="FJ47" s="635"/>
      <c r="FK47" s="635"/>
      <c r="FL47" s="635"/>
      <c r="FM47" s="635"/>
      <c r="FN47" s="635"/>
      <c r="FO47" s="635"/>
      <c r="FP47" s="635"/>
      <c r="FQ47" s="635"/>
      <c r="FR47" s="635"/>
      <c r="FS47" s="635"/>
      <c r="FT47" s="635"/>
      <c r="FU47" s="635"/>
      <c r="FV47" s="635"/>
      <c r="FW47" s="635"/>
      <c r="FX47" s="635"/>
      <c r="FY47" s="635"/>
      <c r="FZ47" s="635"/>
      <c r="GA47" s="635"/>
      <c r="GB47" s="635"/>
      <c r="GC47" s="635"/>
      <c r="GD47" s="635"/>
      <c r="GE47" s="635"/>
      <c r="GF47" s="635"/>
      <c r="GG47" s="635"/>
      <c r="GH47" s="635"/>
      <c r="GI47" s="635"/>
      <c r="GJ47" s="635"/>
      <c r="GK47" s="635"/>
      <c r="GL47" s="635"/>
      <c r="GM47" s="635"/>
      <c r="GN47" s="635"/>
      <c r="GO47" s="635"/>
      <c r="GP47" s="635"/>
      <c r="GQ47" s="635"/>
      <c r="GR47" s="635"/>
      <c r="GS47" s="635"/>
      <c r="GT47" s="635"/>
      <c r="GU47" s="635"/>
      <c r="GV47" s="635"/>
      <c r="GW47" s="635"/>
      <c r="GX47" s="635"/>
      <c r="GY47" s="635"/>
      <c r="GZ47" s="635"/>
      <c r="HA47" s="635"/>
      <c r="HB47" s="635"/>
      <c r="HC47" s="635"/>
      <c r="HD47" s="635"/>
      <c r="HE47" s="635"/>
      <c r="HF47" s="635"/>
      <c r="HG47" s="635"/>
      <c r="HH47" s="635"/>
      <c r="HI47" s="635"/>
      <c r="HJ47" s="635"/>
      <c r="HK47" s="635"/>
      <c r="HL47" s="635"/>
      <c r="HM47" s="635"/>
      <c r="HN47" s="635"/>
      <c r="HO47" s="635"/>
      <c r="HP47" s="635"/>
      <c r="HQ47" s="635"/>
      <c r="HR47" s="635"/>
      <c r="HS47" s="635"/>
      <c r="HT47" s="635"/>
      <c r="HU47" s="635"/>
      <c r="HV47" s="635"/>
      <c r="HW47" s="635"/>
      <c r="HX47" s="635"/>
      <c r="HY47" s="635"/>
      <c r="HZ47" s="635"/>
      <c r="IA47" s="635"/>
      <c r="IB47" s="635"/>
      <c r="IC47" s="635"/>
      <c r="ID47" s="635"/>
      <c r="IE47" s="635"/>
      <c r="IF47" s="635"/>
      <c r="IG47" s="635"/>
      <c r="IH47" s="635"/>
      <c r="II47" s="635"/>
      <c r="IJ47" s="635"/>
      <c r="IK47" s="635"/>
      <c r="IL47" s="635"/>
      <c r="IM47" s="635"/>
      <c r="IN47" s="635"/>
      <c r="IO47" s="635"/>
      <c r="IP47" s="635"/>
      <c r="IQ47" s="635"/>
      <c r="IR47" s="635"/>
      <c r="IS47" s="635"/>
      <c r="IT47" s="635"/>
      <c r="IU47" s="635"/>
      <c r="IV47" s="635"/>
      <c r="IW47" s="635"/>
    </row>
    <row r="48" customFormat="false" ht="13.5" hidden="false" customHeight="false" outlineLevel="0" collapsed="false">
      <c r="A48" s="671" t="s">
        <v>627</v>
      </c>
      <c r="B48" s="672"/>
      <c r="C48" s="673" t="n">
        <f aca="false">SUM(C15,C24,C31,C36,C39,C43,C46)</f>
        <v>118570.091726107</v>
      </c>
      <c r="D48" s="641"/>
      <c r="E48" s="673" t="n">
        <f aca="false">SUM(E15,E24,E31,E36,E39,E43,E46)</f>
        <v>0</v>
      </c>
      <c r="F48" s="673" t="n">
        <f aca="false">SUM(F15,F24,F31,F36,F39,F43,F46)</f>
        <v>260.869565217391</v>
      </c>
      <c r="G48" s="673" t="n">
        <f aca="false">SUM(G15,G24,G31,G36,G39,G43,G46)</f>
        <v>369.057908383751</v>
      </c>
      <c r="H48" s="673" t="n">
        <f aca="false">SUM(H15,H24,H31,H36,H39,H43,H46)</f>
        <v>0</v>
      </c>
      <c r="I48" s="673" t="n">
        <f aca="false">SUM(I15,I24,I31,I36,I39,I43,I46)</f>
        <v>0</v>
      </c>
      <c r="J48" s="673" t="n">
        <f aca="false">SUM(J15,J24,J31,J36,J39,J43,J46)</f>
        <v>0</v>
      </c>
      <c r="K48" s="673" t="n">
        <f aca="false">SUM(K15,K24,K31,K36,K39,K43,K46)</f>
        <v>0</v>
      </c>
      <c r="L48" s="673" t="n">
        <f aca="false">SUM(L15,L24,L31,L36,L39,L43,L46)</f>
        <v>2676.3977770293</v>
      </c>
      <c r="M48" s="673" t="n">
        <f aca="false">SUM(M15,M24,M31,M36,M39,M43,M46)</f>
        <v>3331.64483501907</v>
      </c>
      <c r="N48" s="673" t="n">
        <f aca="false">SUM(N15,N24,N31,N36,N39,N43,N46)</f>
        <v>2443.64720812183</v>
      </c>
      <c r="O48" s="673" t="n">
        <f aca="false">SUM(O15,O24,O31,O36,O39,O43,O46)</f>
        <v>4312.36681518791</v>
      </c>
      <c r="P48" s="673" t="n">
        <f aca="false">SUM(P15,P24,P31,P36,P39,P43,P46)</f>
        <v>0</v>
      </c>
      <c r="Q48" s="673" t="n">
        <f aca="false">SUM(Q15,Q24,Q31,Q36,Q39,Q43,Q46)</f>
        <v>4214.6059347181</v>
      </c>
      <c r="R48" s="673" t="n">
        <f aca="false">SUM(R15,R24,R31,R36,R39,R43,R46)</f>
        <v>0</v>
      </c>
      <c r="S48" s="673" t="n">
        <f aca="false">SUM(S15,S24,S31,S36,S39,S43,S46)</f>
        <v>7733.68256316868</v>
      </c>
      <c r="T48" s="673" t="n">
        <f aca="false">SUM(T15,T24,T31,T36,T39,T43,T46)</f>
        <v>12350.7847823691</v>
      </c>
      <c r="U48" s="673" t="n">
        <f aca="false">SUM(U15,U24,U31,U36,U39,U43,U46)</f>
        <v>1125.65068114202</v>
      </c>
      <c r="V48" s="673" t="n">
        <f aca="false">SUM(V15,V24,V31,V36,V39,V43,V46)</f>
        <v>1977.03667481663</v>
      </c>
      <c r="W48" s="673" t="n">
        <f aca="false">SUM(W15,W24,W31,W36,W39,W43,W46)</f>
        <v>5618.20759344598</v>
      </c>
      <c r="X48" s="673" t="n">
        <f aca="false">SUM(X15,X24,X31,X36,X39,X43,X46)</f>
        <v>6126.67353721329</v>
      </c>
      <c r="Y48" s="673" t="n">
        <f aca="false">SUM(Y15,Y24,Y31,Y36,Y39,Y43,Y46)</f>
        <v>3309.32114432313</v>
      </c>
      <c r="Z48" s="673" t="n">
        <f aca="false">SUM(Z15,Z24,Z31,Z36,Z39,Z43,Z46)</f>
        <v>5722.34468400638</v>
      </c>
      <c r="AA48" s="673" t="n">
        <f aca="false">SUM(AA15,AA24,AA31,AA36,AA39,AA43,AA46)</f>
        <v>4510.44680547504</v>
      </c>
      <c r="AB48" s="673" t="n">
        <f aca="false">SUM(AB15,AB24,AB31,AB36,AB39,AB43,AB46)</f>
        <v>269.837238430088</v>
      </c>
      <c r="AC48" s="673" t="n">
        <f aca="false">SUM(AC15,AC24,AC31,AC36,AC39,AC43,AC46)</f>
        <v>4948.74520937534</v>
      </c>
      <c r="AD48" s="673" t="n">
        <f aca="false">SUM(AD15,AD24,AD31,AD36,AD39,AD43,AD46)</f>
        <v>5234.57602187534</v>
      </c>
      <c r="AE48" s="673" t="n">
        <f aca="false">SUM(AE15,AE24,AE31,AE36,AE39,AE43,AE46)</f>
        <v>5234.57602187534</v>
      </c>
      <c r="AF48" s="673" t="n">
        <f aca="false">SUM(AF15,AF24,AF31,AF36,AF39,AF43,AF46)</f>
        <v>12815.0268870599</v>
      </c>
      <c r="AG48" s="673" t="n">
        <f aca="false">SUM(AG15,AG24,AG31,AG36,AG39,AG43,AG46)</f>
        <v>5234.57602187534</v>
      </c>
      <c r="AH48" s="673" t="n">
        <f aca="false">SUM(AH15,AH24,AH31,AH36,AH39,AH43,AH46)</f>
        <v>6379.08665794585</v>
      </c>
      <c r="AI48" s="673" t="n">
        <f aca="false">SUM(AI15,AI24,AI31,AI36,AI39,AI43,AI46)</f>
        <v>4125.16658587027</v>
      </c>
      <c r="AJ48" s="673" t="n">
        <f aca="false">SUM(AJ15,AJ24,AJ31,AJ36,AJ39,AJ43,AJ46)</f>
        <v>4123.54421243138</v>
      </c>
      <c r="AK48" s="673" t="n">
        <f aca="false">SUM(AK15,AK24,AK31,AK36,AK39,AK43,AK46)</f>
        <v>4121.90620793945</v>
      </c>
      <c r="AL48" s="673" t="n">
        <f aca="false">SUM(AL15,AL24,AL31,AL36,AL39,AL43,AL46)</f>
        <v>0.312151790648433</v>
      </c>
      <c r="AM48" s="673" t="n">
        <f aca="false">SUM(AM15,AM24,AM31,AM36,AM39,AM43,AM46)</f>
        <v>-5.54223333892878E-015</v>
      </c>
      <c r="AN48" s="673" t="n">
        <f aca="false">SUM(AN15,AN24,AN31,AN36,AN39,AN43,AN46)</f>
        <v>-5.54143367155008E-015</v>
      </c>
      <c r="AO48" s="641"/>
      <c r="AP48" s="674" t="n">
        <f aca="false">SUM(E48:AO48)</f>
        <v>118570.091726107</v>
      </c>
      <c r="AQ48" s="648" t="n">
        <f aca="false">AQ47+1</f>
        <v>42</v>
      </c>
      <c r="AR48" s="635"/>
      <c r="AS48" s="635"/>
      <c r="AT48" s="635"/>
      <c r="AU48" s="635"/>
      <c r="AV48" s="635"/>
      <c r="AW48" s="635"/>
      <c r="AX48" s="635"/>
      <c r="AY48" s="635"/>
      <c r="AZ48" s="635"/>
      <c r="BA48" s="635"/>
      <c r="BB48" s="635"/>
      <c r="BC48" s="635"/>
      <c r="BD48" s="635"/>
      <c r="BE48" s="635"/>
      <c r="BF48" s="635"/>
      <c r="BG48" s="635"/>
      <c r="BH48" s="635"/>
      <c r="BI48" s="635"/>
      <c r="BJ48" s="635"/>
      <c r="BK48" s="635"/>
      <c r="BL48" s="635"/>
      <c r="BM48" s="635"/>
      <c r="BN48" s="635"/>
      <c r="BO48" s="635"/>
      <c r="BP48" s="635"/>
      <c r="BQ48" s="635"/>
      <c r="BR48" s="635"/>
      <c r="BS48" s="635"/>
      <c r="BT48" s="635"/>
      <c r="BU48" s="635"/>
      <c r="BV48" s="635"/>
      <c r="BW48" s="635"/>
      <c r="BX48" s="635"/>
      <c r="BY48" s="635"/>
      <c r="BZ48" s="635"/>
      <c r="CA48" s="635"/>
      <c r="CB48" s="635"/>
      <c r="CC48" s="635"/>
      <c r="CD48" s="635"/>
      <c r="CE48" s="635"/>
      <c r="CF48" s="635"/>
      <c r="CG48" s="635"/>
      <c r="CH48" s="635"/>
      <c r="CI48" s="635"/>
      <c r="CJ48" s="635"/>
      <c r="CK48" s="635"/>
      <c r="CL48" s="635"/>
      <c r="CM48" s="635"/>
      <c r="CN48" s="635"/>
      <c r="CO48" s="635"/>
      <c r="CP48" s="635"/>
      <c r="CQ48" s="635"/>
      <c r="CR48" s="635"/>
      <c r="CS48" s="635"/>
      <c r="CT48" s="635"/>
      <c r="CU48" s="635"/>
      <c r="CV48" s="635"/>
      <c r="CW48" s="635"/>
      <c r="CX48" s="635"/>
      <c r="CY48" s="635"/>
      <c r="CZ48" s="635"/>
      <c r="DA48" s="635"/>
      <c r="DB48" s="635"/>
      <c r="DC48" s="635"/>
      <c r="DD48" s="635"/>
      <c r="DE48" s="635"/>
      <c r="DF48" s="635"/>
      <c r="DG48" s="635"/>
      <c r="DH48" s="635"/>
      <c r="DI48" s="635"/>
      <c r="DJ48" s="635"/>
      <c r="DK48" s="635"/>
      <c r="DL48" s="635"/>
      <c r="DM48" s="635"/>
      <c r="DN48" s="635"/>
      <c r="DO48" s="635"/>
      <c r="DP48" s="635"/>
      <c r="DQ48" s="635"/>
      <c r="DR48" s="635"/>
      <c r="DS48" s="635"/>
      <c r="DT48" s="635"/>
      <c r="DU48" s="635"/>
      <c r="DV48" s="635"/>
      <c r="DW48" s="635"/>
      <c r="DX48" s="635"/>
      <c r="DY48" s="635"/>
      <c r="DZ48" s="635"/>
      <c r="EA48" s="635"/>
      <c r="EB48" s="635"/>
      <c r="EC48" s="635"/>
      <c r="ED48" s="635"/>
      <c r="EE48" s="635"/>
      <c r="EF48" s="635"/>
      <c r="EG48" s="635"/>
      <c r="EH48" s="635"/>
      <c r="EI48" s="635"/>
      <c r="EJ48" s="635"/>
      <c r="EK48" s="635"/>
      <c r="EL48" s="635"/>
      <c r="EM48" s="635"/>
      <c r="EN48" s="635"/>
      <c r="EO48" s="635"/>
      <c r="EP48" s="635"/>
      <c r="EQ48" s="635"/>
      <c r="ER48" s="635"/>
      <c r="ES48" s="635"/>
      <c r="ET48" s="635"/>
      <c r="EU48" s="635"/>
      <c r="EV48" s="635"/>
      <c r="EW48" s="635"/>
      <c r="EX48" s="635"/>
      <c r="EY48" s="635"/>
      <c r="EZ48" s="635"/>
      <c r="FA48" s="635"/>
      <c r="FB48" s="635"/>
      <c r="FC48" s="635"/>
      <c r="FD48" s="635"/>
      <c r="FE48" s="635"/>
      <c r="FF48" s="635"/>
      <c r="FG48" s="635"/>
      <c r="FH48" s="635"/>
      <c r="FI48" s="635"/>
      <c r="FJ48" s="635"/>
      <c r="FK48" s="635"/>
      <c r="FL48" s="635"/>
      <c r="FM48" s="635"/>
      <c r="FN48" s="635"/>
      <c r="FO48" s="635"/>
      <c r="FP48" s="635"/>
      <c r="FQ48" s="635"/>
      <c r="FR48" s="635"/>
      <c r="FS48" s="635"/>
      <c r="FT48" s="635"/>
      <c r="FU48" s="635"/>
      <c r="FV48" s="635"/>
      <c r="FW48" s="635"/>
      <c r="FX48" s="635"/>
      <c r="FY48" s="635"/>
      <c r="FZ48" s="635"/>
      <c r="GA48" s="635"/>
      <c r="GB48" s="635"/>
      <c r="GC48" s="635"/>
      <c r="GD48" s="635"/>
      <c r="GE48" s="635"/>
      <c r="GF48" s="635"/>
      <c r="GG48" s="635"/>
      <c r="GH48" s="635"/>
      <c r="GI48" s="635"/>
      <c r="GJ48" s="635"/>
      <c r="GK48" s="635"/>
      <c r="GL48" s="635"/>
      <c r="GM48" s="635"/>
      <c r="GN48" s="635"/>
      <c r="GO48" s="635"/>
      <c r="GP48" s="635"/>
      <c r="GQ48" s="635"/>
      <c r="GR48" s="635"/>
      <c r="GS48" s="635"/>
      <c r="GT48" s="635"/>
      <c r="GU48" s="635"/>
      <c r="GV48" s="635"/>
      <c r="GW48" s="635"/>
      <c r="GX48" s="635"/>
      <c r="GY48" s="635"/>
      <c r="GZ48" s="635"/>
      <c r="HA48" s="635"/>
      <c r="HB48" s="635"/>
      <c r="HC48" s="635"/>
      <c r="HD48" s="635"/>
      <c r="HE48" s="635"/>
      <c r="HF48" s="635"/>
      <c r="HG48" s="635"/>
      <c r="HH48" s="635"/>
      <c r="HI48" s="635"/>
      <c r="HJ48" s="635"/>
      <c r="HK48" s="635"/>
      <c r="HL48" s="635"/>
      <c r="HM48" s="635"/>
      <c r="HN48" s="635"/>
      <c r="HO48" s="635"/>
      <c r="HP48" s="635"/>
      <c r="HQ48" s="635"/>
      <c r="HR48" s="635"/>
      <c r="HS48" s="635"/>
      <c r="HT48" s="635"/>
      <c r="HU48" s="635"/>
      <c r="HV48" s="635"/>
      <c r="HW48" s="635"/>
      <c r="HX48" s="635"/>
      <c r="HY48" s="635"/>
      <c r="HZ48" s="635"/>
      <c r="IA48" s="635"/>
      <c r="IB48" s="635"/>
      <c r="IC48" s="635"/>
      <c r="ID48" s="635"/>
      <c r="IE48" s="635"/>
      <c r="IF48" s="635"/>
      <c r="IG48" s="635"/>
      <c r="IH48" s="635"/>
      <c r="II48" s="635"/>
      <c r="IJ48" s="635"/>
      <c r="IK48" s="635"/>
      <c r="IL48" s="635"/>
      <c r="IM48" s="635"/>
      <c r="IN48" s="635"/>
      <c r="IO48" s="635"/>
      <c r="IP48" s="635"/>
      <c r="IQ48" s="635"/>
      <c r="IR48" s="635"/>
      <c r="IS48" s="635"/>
      <c r="IT48" s="635"/>
      <c r="IU48" s="635"/>
      <c r="IV48" s="635"/>
      <c r="IW48" s="635"/>
    </row>
    <row r="49" customFormat="false" ht="12.75" hidden="false" customHeight="false" outlineLevel="0" collapsed="false">
      <c r="A49" s="675"/>
      <c r="B49" s="84"/>
      <c r="C49" s="84"/>
      <c r="D49" s="84"/>
      <c r="E49" s="654" t="n">
        <v>27.5296833773087</v>
      </c>
      <c r="F49" s="654" t="n">
        <v>143.478260869565</v>
      </c>
      <c r="G49" s="654" t="n">
        <v>10.6849611063094</v>
      </c>
      <c r="H49" s="654" t="n">
        <v>0</v>
      </c>
      <c r="I49" s="654" t="n">
        <v>497.900968564146</v>
      </c>
      <c r="J49" s="654" t="n">
        <v>0</v>
      </c>
      <c r="K49" s="654" t="n">
        <v>63.582842724979</v>
      </c>
      <c r="L49" s="654" t="n">
        <v>122.625463118895</v>
      </c>
      <c r="M49" s="654" t="n">
        <v>3041.7672939811</v>
      </c>
      <c r="N49" s="654" t="n">
        <v>3744.66842639594</v>
      </c>
      <c r="O49" s="654" t="n">
        <v>4252.22036032546</v>
      </c>
      <c r="P49" s="654" t="n">
        <v>449.381653674833</v>
      </c>
      <c r="Q49" s="654" t="n">
        <v>2986.14788724036</v>
      </c>
      <c r="R49" s="654" t="n">
        <v>1068.85151392111</v>
      </c>
      <c r="S49" s="654" t="n">
        <v>6539.10424539039</v>
      </c>
      <c r="T49" s="654" t="n">
        <v>12413.9000165289</v>
      </c>
      <c r="U49" s="654" t="n">
        <v>1531.25851558015</v>
      </c>
      <c r="V49" s="654" t="n">
        <v>2474.93175883057</v>
      </c>
      <c r="W49" s="654" t="n">
        <v>812.955407066052</v>
      </c>
      <c r="X49" s="654" t="n">
        <v>5180.32974462995</v>
      </c>
      <c r="Y49" s="654" t="n">
        <v>10983.4130799329</v>
      </c>
      <c r="Z49" s="654" t="n">
        <v>2855.82637039503</v>
      </c>
      <c r="AA49" s="654" t="n">
        <v>4911.95695974814</v>
      </c>
      <c r="AB49" s="654" t="n">
        <v>1415.76546672008</v>
      </c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647"/>
      <c r="AQ49" s="648" t="n">
        <f aca="false">AQ48+1</f>
        <v>43</v>
      </c>
      <c r="AR49" s="635" t="s">
        <v>319</v>
      </c>
      <c r="AS49" s="635"/>
      <c r="AT49" s="635"/>
      <c r="AU49" s="635"/>
      <c r="AV49" s="635"/>
      <c r="AW49" s="635"/>
      <c r="AX49" s="635"/>
      <c r="AY49" s="635"/>
      <c r="AZ49" s="635"/>
      <c r="BA49" s="635"/>
      <c r="BB49" s="635"/>
      <c r="BC49" s="635"/>
      <c r="BD49" s="635"/>
      <c r="BE49" s="635"/>
      <c r="BF49" s="635"/>
      <c r="BG49" s="635"/>
      <c r="BH49" s="635"/>
      <c r="BI49" s="635"/>
      <c r="BJ49" s="635"/>
      <c r="BK49" s="635"/>
      <c r="BL49" s="635"/>
      <c r="BM49" s="635"/>
      <c r="BN49" s="635"/>
      <c r="BO49" s="635"/>
      <c r="BP49" s="635"/>
      <c r="BQ49" s="635"/>
      <c r="BR49" s="635"/>
      <c r="BS49" s="635"/>
      <c r="BT49" s="635"/>
      <c r="BU49" s="635"/>
      <c r="BV49" s="635"/>
      <c r="BW49" s="635"/>
      <c r="BX49" s="635"/>
      <c r="BY49" s="635"/>
      <c r="BZ49" s="635"/>
      <c r="CA49" s="635"/>
      <c r="CB49" s="635"/>
      <c r="CC49" s="635"/>
      <c r="CD49" s="635"/>
      <c r="CE49" s="635"/>
      <c r="CF49" s="635"/>
      <c r="CG49" s="635"/>
      <c r="CH49" s="635"/>
      <c r="CI49" s="635"/>
      <c r="CJ49" s="635"/>
      <c r="CK49" s="635"/>
      <c r="CL49" s="635"/>
      <c r="CM49" s="635"/>
      <c r="CN49" s="635"/>
      <c r="CO49" s="635"/>
      <c r="CP49" s="635"/>
      <c r="CQ49" s="635"/>
      <c r="CR49" s="635"/>
      <c r="CS49" s="635"/>
      <c r="CT49" s="635"/>
      <c r="CU49" s="635"/>
      <c r="CV49" s="635"/>
      <c r="CW49" s="635"/>
      <c r="CX49" s="635"/>
      <c r="CY49" s="635"/>
      <c r="CZ49" s="635"/>
      <c r="DA49" s="635"/>
      <c r="DB49" s="635"/>
      <c r="DC49" s="635"/>
      <c r="DD49" s="635"/>
      <c r="DE49" s="635"/>
      <c r="DF49" s="635"/>
      <c r="DG49" s="635"/>
      <c r="DH49" s="635"/>
      <c r="DI49" s="635"/>
      <c r="DJ49" s="635"/>
      <c r="DK49" s="635"/>
      <c r="DL49" s="635"/>
      <c r="DM49" s="635"/>
      <c r="DN49" s="635"/>
      <c r="DO49" s="635"/>
      <c r="DP49" s="635"/>
      <c r="DQ49" s="635"/>
      <c r="DR49" s="635"/>
      <c r="DS49" s="635"/>
      <c r="DT49" s="635"/>
      <c r="DU49" s="635"/>
      <c r="DV49" s="635"/>
      <c r="DW49" s="635"/>
      <c r="DX49" s="635"/>
      <c r="DY49" s="635"/>
      <c r="DZ49" s="635"/>
      <c r="EA49" s="635"/>
      <c r="EB49" s="635"/>
      <c r="EC49" s="635"/>
      <c r="ED49" s="635"/>
      <c r="EE49" s="635"/>
      <c r="EF49" s="635"/>
      <c r="EG49" s="635"/>
      <c r="EH49" s="635"/>
      <c r="EI49" s="635"/>
      <c r="EJ49" s="635"/>
      <c r="EK49" s="635"/>
      <c r="EL49" s="635"/>
      <c r="EM49" s="635"/>
      <c r="EN49" s="635"/>
      <c r="EO49" s="635"/>
      <c r="EP49" s="635"/>
      <c r="EQ49" s="635"/>
      <c r="ER49" s="635"/>
      <c r="ES49" s="635"/>
      <c r="ET49" s="635"/>
      <c r="EU49" s="635"/>
      <c r="EV49" s="635"/>
      <c r="EW49" s="635"/>
      <c r="EX49" s="635"/>
      <c r="EY49" s="635"/>
      <c r="EZ49" s="635"/>
      <c r="FA49" s="635"/>
      <c r="FB49" s="635"/>
      <c r="FC49" s="635"/>
      <c r="FD49" s="635"/>
      <c r="FE49" s="635"/>
      <c r="FF49" s="635"/>
      <c r="FG49" s="635"/>
      <c r="FH49" s="635"/>
      <c r="FI49" s="635"/>
      <c r="FJ49" s="635"/>
      <c r="FK49" s="635"/>
      <c r="FL49" s="635"/>
      <c r="FM49" s="635"/>
      <c r="FN49" s="635"/>
      <c r="FO49" s="635"/>
      <c r="FP49" s="635"/>
      <c r="FQ49" s="635"/>
      <c r="FR49" s="635"/>
      <c r="FS49" s="635"/>
      <c r="FT49" s="635"/>
      <c r="FU49" s="635"/>
      <c r="FV49" s="635"/>
      <c r="FW49" s="635"/>
      <c r="FX49" s="635"/>
      <c r="FY49" s="635"/>
      <c r="FZ49" s="635"/>
      <c r="GA49" s="635"/>
      <c r="GB49" s="635"/>
      <c r="GC49" s="635"/>
      <c r="GD49" s="635"/>
      <c r="GE49" s="635"/>
      <c r="GF49" s="635"/>
      <c r="GG49" s="635"/>
      <c r="GH49" s="635"/>
      <c r="GI49" s="635"/>
      <c r="GJ49" s="635"/>
      <c r="GK49" s="635"/>
      <c r="GL49" s="635"/>
      <c r="GM49" s="635"/>
      <c r="GN49" s="635"/>
      <c r="GO49" s="635"/>
      <c r="GP49" s="635"/>
      <c r="GQ49" s="635"/>
      <c r="GR49" s="635"/>
      <c r="GS49" s="635"/>
      <c r="GT49" s="635"/>
      <c r="GU49" s="635"/>
      <c r="GV49" s="635"/>
      <c r="GW49" s="635"/>
      <c r="GX49" s="635"/>
      <c r="GY49" s="635"/>
      <c r="GZ49" s="635"/>
      <c r="HA49" s="635"/>
      <c r="HB49" s="635"/>
      <c r="HC49" s="635"/>
      <c r="HD49" s="635"/>
      <c r="HE49" s="635"/>
      <c r="HF49" s="635"/>
      <c r="HG49" s="635"/>
      <c r="HH49" s="635"/>
      <c r="HI49" s="635"/>
      <c r="HJ49" s="635"/>
      <c r="HK49" s="635"/>
      <c r="HL49" s="635"/>
      <c r="HM49" s="635"/>
      <c r="HN49" s="635"/>
      <c r="HO49" s="635"/>
      <c r="HP49" s="635"/>
      <c r="HQ49" s="635"/>
      <c r="HR49" s="635"/>
      <c r="HS49" s="635"/>
      <c r="HT49" s="635"/>
      <c r="HU49" s="635"/>
      <c r="HV49" s="635"/>
      <c r="HW49" s="635"/>
      <c r="HX49" s="635"/>
      <c r="HY49" s="635"/>
      <c r="HZ49" s="635"/>
      <c r="IA49" s="635"/>
      <c r="IB49" s="635"/>
      <c r="IC49" s="635"/>
      <c r="ID49" s="635"/>
      <c r="IE49" s="635"/>
      <c r="IF49" s="635"/>
      <c r="IG49" s="635"/>
      <c r="IH49" s="635"/>
      <c r="II49" s="635"/>
      <c r="IJ49" s="635"/>
      <c r="IK49" s="635"/>
      <c r="IL49" s="635"/>
      <c r="IM49" s="635"/>
      <c r="IN49" s="635"/>
      <c r="IO49" s="635"/>
      <c r="IP49" s="635"/>
      <c r="IQ49" s="635"/>
      <c r="IR49" s="635"/>
      <c r="IS49" s="635"/>
      <c r="IT49" s="635"/>
      <c r="IU49" s="635"/>
      <c r="IV49" s="635"/>
      <c r="IW49" s="635"/>
    </row>
    <row r="50" customFormat="false" ht="12.75" hidden="false" customHeight="false" outlineLevel="0" collapsed="false">
      <c r="A50" s="675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647"/>
      <c r="AQ50" s="648" t="n">
        <f aca="false">AQ49+1</f>
        <v>44</v>
      </c>
      <c r="AR50" s="640" t="s">
        <v>628</v>
      </c>
      <c r="AS50" s="635"/>
      <c r="AT50" s="635"/>
      <c r="AU50" s="635"/>
      <c r="AV50" s="635"/>
      <c r="AW50" s="635"/>
      <c r="AX50" s="635"/>
      <c r="AY50" s="635"/>
      <c r="AZ50" s="635"/>
      <c r="BA50" s="635"/>
      <c r="BB50" s="635"/>
      <c r="BC50" s="635"/>
      <c r="BD50" s="635"/>
      <c r="BE50" s="635"/>
      <c r="BF50" s="635"/>
      <c r="BG50" s="635"/>
      <c r="BH50" s="635"/>
      <c r="BI50" s="635"/>
      <c r="BJ50" s="635"/>
      <c r="BK50" s="635"/>
      <c r="BL50" s="635"/>
      <c r="BM50" s="635"/>
      <c r="BN50" s="635"/>
      <c r="BO50" s="635"/>
      <c r="BP50" s="635"/>
      <c r="BQ50" s="635"/>
      <c r="BR50" s="635"/>
      <c r="BS50" s="635"/>
      <c r="BT50" s="635"/>
      <c r="BU50" s="635"/>
      <c r="BV50" s="635"/>
      <c r="BW50" s="635"/>
      <c r="BX50" s="635"/>
      <c r="BY50" s="635"/>
      <c r="BZ50" s="635"/>
      <c r="CA50" s="635"/>
      <c r="CB50" s="635"/>
      <c r="CC50" s="635"/>
      <c r="CD50" s="635"/>
      <c r="CE50" s="635"/>
      <c r="CF50" s="635"/>
      <c r="CG50" s="635"/>
      <c r="CH50" s="635"/>
      <c r="CI50" s="635"/>
      <c r="CJ50" s="635"/>
      <c r="CK50" s="635"/>
      <c r="CL50" s="635"/>
      <c r="CM50" s="635"/>
      <c r="CN50" s="635"/>
      <c r="CO50" s="635"/>
      <c r="CP50" s="635"/>
      <c r="CQ50" s="635"/>
      <c r="CR50" s="635"/>
      <c r="CS50" s="635"/>
      <c r="CT50" s="635"/>
      <c r="CU50" s="635"/>
      <c r="CV50" s="635"/>
      <c r="CW50" s="635"/>
      <c r="CX50" s="635"/>
      <c r="CY50" s="635"/>
      <c r="CZ50" s="635"/>
      <c r="DA50" s="635"/>
      <c r="DB50" s="635"/>
      <c r="DC50" s="635"/>
      <c r="DD50" s="635"/>
      <c r="DE50" s="635"/>
      <c r="DF50" s="635"/>
      <c r="DG50" s="635"/>
      <c r="DH50" s="635"/>
      <c r="DI50" s="635"/>
      <c r="DJ50" s="635"/>
      <c r="DK50" s="635"/>
      <c r="DL50" s="635"/>
      <c r="DM50" s="635"/>
      <c r="DN50" s="635"/>
      <c r="DO50" s="635"/>
      <c r="DP50" s="635"/>
      <c r="DQ50" s="635"/>
      <c r="DR50" s="635"/>
      <c r="DS50" s="635"/>
      <c r="DT50" s="635"/>
      <c r="DU50" s="635"/>
      <c r="DV50" s="635"/>
      <c r="DW50" s="635"/>
      <c r="DX50" s="635"/>
      <c r="DY50" s="635"/>
      <c r="DZ50" s="635"/>
      <c r="EA50" s="635"/>
      <c r="EB50" s="635"/>
      <c r="EC50" s="635"/>
      <c r="ED50" s="635"/>
      <c r="EE50" s="635"/>
      <c r="EF50" s="635"/>
      <c r="EG50" s="635"/>
      <c r="EH50" s="635"/>
      <c r="EI50" s="635"/>
      <c r="EJ50" s="635"/>
      <c r="EK50" s="635"/>
      <c r="EL50" s="635"/>
      <c r="EM50" s="635"/>
      <c r="EN50" s="635"/>
      <c r="EO50" s="635"/>
      <c r="EP50" s="635"/>
      <c r="EQ50" s="635"/>
      <c r="ER50" s="635"/>
      <c r="ES50" s="635"/>
      <c r="ET50" s="635"/>
      <c r="EU50" s="635"/>
      <c r="EV50" s="635"/>
      <c r="EW50" s="635"/>
      <c r="EX50" s="635"/>
      <c r="EY50" s="635"/>
      <c r="EZ50" s="635"/>
      <c r="FA50" s="635"/>
      <c r="FB50" s="635"/>
      <c r="FC50" s="635"/>
      <c r="FD50" s="635"/>
      <c r="FE50" s="635"/>
      <c r="FF50" s="635"/>
      <c r="FG50" s="635"/>
      <c r="FH50" s="635"/>
      <c r="FI50" s="635"/>
      <c r="FJ50" s="635"/>
      <c r="FK50" s="635"/>
      <c r="FL50" s="635"/>
      <c r="FM50" s="635"/>
      <c r="FN50" s="635"/>
      <c r="FO50" s="635"/>
      <c r="FP50" s="635"/>
      <c r="FQ50" s="635"/>
      <c r="FR50" s="635"/>
      <c r="FS50" s="635"/>
      <c r="FT50" s="635"/>
      <c r="FU50" s="635"/>
      <c r="FV50" s="635"/>
      <c r="FW50" s="635"/>
      <c r="FX50" s="635"/>
      <c r="FY50" s="635"/>
      <c r="FZ50" s="635"/>
      <c r="GA50" s="635"/>
      <c r="GB50" s="635"/>
      <c r="GC50" s="635"/>
      <c r="GD50" s="635"/>
      <c r="GE50" s="635"/>
      <c r="GF50" s="635"/>
      <c r="GG50" s="635"/>
      <c r="GH50" s="635"/>
      <c r="GI50" s="635"/>
      <c r="GJ50" s="635"/>
      <c r="GK50" s="635"/>
      <c r="GL50" s="635"/>
      <c r="GM50" s="635"/>
      <c r="GN50" s="635"/>
      <c r="GO50" s="635"/>
      <c r="GP50" s="635"/>
      <c r="GQ50" s="635"/>
      <c r="GR50" s="635"/>
      <c r="GS50" s="635"/>
      <c r="GT50" s="635"/>
      <c r="GU50" s="635"/>
      <c r="GV50" s="635"/>
      <c r="GW50" s="635"/>
      <c r="GX50" s="635"/>
      <c r="GY50" s="635"/>
      <c r="GZ50" s="635"/>
      <c r="HA50" s="635"/>
      <c r="HB50" s="635"/>
      <c r="HC50" s="635"/>
      <c r="HD50" s="635"/>
      <c r="HE50" s="635"/>
      <c r="HF50" s="635"/>
      <c r="HG50" s="635"/>
      <c r="HH50" s="635"/>
      <c r="HI50" s="635"/>
      <c r="HJ50" s="635"/>
      <c r="HK50" s="635"/>
      <c r="HL50" s="635"/>
      <c r="HM50" s="635"/>
      <c r="HN50" s="635"/>
      <c r="HO50" s="635"/>
      <c r="HP50" s="635"/>
      <c r="HQ50" s="635"/>
      <c r="HR50" s="635"/>
      <c r="HS50" s="635"/>
      <c r="HT50" s="635"/>
      <c r="HU50" s="635"/>
      <c r="HV50" s="635"/>
      <c r="HW50" s="635"/>
      <c r="HX50" s="635"/>
      <c r="HY50" s="635"/>
      <c r="HZ50" s="635"/>
      <c r="IA50" s="635"/>
      <c r="IB50" s="635"/>
      <c r="IC50" s="635"/>
      <c r="ID50" s="635"/>
      <c r="IE50" s="635"/>
      <c r="IF50" s="635"/>
      <c r="IG50" s="635"/>
      <c r="IH50" s="635"/>
      <c r="II50" s="635"/>
      <c r="IJ50" s="635"/>
      <c r="IK50" s="635"/>
      <c r="IL50" s="635"/>
      <c r="IM50" s="635"/>
      <c r="IN50" s="635"/>
      <c r="IO50" s="635"/>
      <c r="IP50" s="635"/>
      <c r="IQ50" s="635"/>
      <c r="IR50" s="635"/>
      <c r="IS50" s="635"/>
      <c r="IT50" s="635"/>
      <c r="IU50" s="635"/>
      <c r="IV50" s="635"/>
      <c r="IW50" s="635"/>
    </row>
    <row r="51" customFormat="false" ht="12.75" hidden="false" customHeight="false" outlineLevel="0" collapsed="false">
      <c r="A51" s="676" t="s">
        <v>629</v>
      </c>
      <c r="B51" s="677"/>
      <c r="C51" s="677"/>
      <c r="D51" s="677"/>
      <c r="E51" s="678" t="n">
        <v>35886</v>
      </c>
      <c r="F51" s="679" t="n">
        <f aca="false">EDATE(E51,1)</f>
        <v>35916</v>
      </c>
      <c r="G51" s="679" t="n">
        <f aca="false">EDATE(F51,1)</f>
        <v>35947</v>
      </c>
      <c r="H51" s="679" t="n">
        <f aca="false">EDATE(G51,1)</f>
        <v>35977</v>
      </c>
      <c r="I51" s="679" t="n">
        <f aca="false">EDATE(H51,1)</f>
        <v>36008</v>
      </c>
      <c r="J51" s="679" t="n">
        <f aca="false">EDATE(I51,1)</f>
        <v>36039</v>
      </c>
      <c r="K51" s="679" t="n">
        <f aca="false">EDATE(J51,1)</f>
        <v>36069</v>
      </c>
      <c r="L51" s="679" t="n">
        <f aca="false">EDATE(K51,1)</f>
        <v>36100</v>
      </c>
      <c r="M51" s="679" t="n">
        <f aca="false">EDATE(L51,1)</f>
        <v>36130</v>
      </c>
      <c r="N51" s="679" t="n">
        <f aca="false">EDATE(M51,1)</f>
        <v>36161</v>
      </c>
      <c r="O51" s="679" t="n">
        <f aca="false">EDATE(N51,1)</f>
        <v>36192</v>
      </c>
      <c r="P51" s="679" t="n">
        <f aca="false">EDATE(O51,1)</f>
        <v>36220</v>
      </c>
      <c r="Q51" s="679" t="n">
        <f aca="false">EDATE(P51,1)</f>
        <v>36251</v>
      </c>
      <c r="R51" s="679" t="n">
        <f aca="false">EDATE(Q51,1)</f>
        <v>36281</v>
      </c>
      <c r="S51" s="679" t="n">
        <f aca="false">EDATE(R51,1)</f>
        <v>36312</v>
      </c>
      <c r="T51" s="679" t="n">
        <f aca="false">EDATE(S51,1)</f>
        <v>36342</v>
      </c>
      <c r="U51" s="679" t="n">
        <f aca="false">EDATE(T51,1)</f>
        <v>36373</v>
      </c>
      <c r="V51" s="679" t="n">
        <f aca="false">EDATE(U51,1)</f>
        <v>36404</v>
      </c>
      <c r="W51" s="679" t="n">
        <f aca="false">EDATE(V51,1)</f>
        <v>36434</v>
      </c>
      <c r="X51" s="679" t="n">
        <f aca="false">EDATE(W51,1)</f>
        <v>36465</v>
      </c>
      <c r="Y51" s="679" t="n">
        <f aca="false">EDATE(X51,1)</f>
        <v>36495</v>
      </c>
      <c r="Z51" s="679" t="n">
        <f aca="false">EDATE(Y51,1)</f>
        <v>36526</v>
      </c>
      <c r="AA51" s="679" t="n">
        <f aca="false">EDATE(Z51,1)</f>
        <v>36557</v>
      </c>
      <c r="AB51" s="679" t="n">
        <f aca="false">EDATE(AA51,1)</f>
        <v>36586</v>
      </c>
      <c r="AC51" s="679" t="n">
        <f aca="false">EDATE(AB51,1)</f>
        <v>36617</v>
      </c>
      <c r="AD51" s="679" t="n">
        <f aca="false">EDATE(AC51,1)</f>
        <v>36647</v>
      </c>
      <c r="AE51" s="679" t="n">
        <f aca="false">EDATE(AD51,1)</f>
        <v>36678</v>
      </c>
      <c r="AF51" s="679" t="n">
        <f aca="false">EDATE(AE51,1)</f>
        <v>36708</v>
      </c>
      <c r="AG51" s="679" t="n">
        <f aca="false">EDATE(AF51,1)</f>
        <v>36739</v>
      </c>
      <c r="AH51" s="679" t="n">
        <f aca="false">EDATE(AG51,1)</f>
        <v>36770</v>
      </c>
      <c r="AI51" s="679" t="n">
        <f aca="false">EDATE(AH51,1)</f>
        <v>36800</v>
      </c>
      <c r="AJ51" s="679" t="n">
        <f aca="false">EDATE(AI51,1)</f>
        <v>36831</v>
      </c>
      <c r="AK51" s="679" t="n">
        <f aca="false">EDATE(AJ51,1)</f>
        <v>36861</v>
      </c>
      <c r="AL51" s="679" t="n">
        <f aca="false">EDATE(AK51,1)</f>
        <v>36892</v>
      </c>
      <c r="AM51" s="679" t="n">
        <f aca="false">EDATE(AL51,1)</f>
        <v>36923</v>
      </c>
      <c r="AN51" s="679" t="n">
        <f aca="false">EDATE(AM51,1)</f>
        <v>36951</v>
      </c>
      <c r="AO51" s="677"/>
      <c r="AP51" s="680"/>
      <c r="AQ51" s="648" t="n">
        <f aca="false">AQ50+1</f>
        <v>45</v>
      </c>
      <c r="AR51" s="645" t="n">
        <v>1</v>
      </c>
      <c r="AS51" s="635"/>
      <c r="AT51" s="635"/>
      <c r="AU51" s="635"/>
      <c r="AV51" s="635"/>
      <c r="AW51" s="635"/>
      <c r="AX51" s="635"/>
      <c r="AY51" s="635"/>
      <c r="AZ51" s="635"/>
      <c r="BA51" s="635"/>
      <c r="BB51" s="635"/>
      <c r="BC51" s="635"/>
      <c r="BD51" s="635"/>
      <c r="BE51" s="635"/>
      <c r="BF51" s="635"/>
      <c r="BG51" s="635"/>
      <c r="BH51" s="635"/>
      <c r="BI51" s="635"/>
      <c r="BJ51" s="635"/>
      <c r="BK51" s="635"/>
      <c r="BL51" s="635"/>
      <c r="BM51" s="635"/>
      <c r="BN51" s="635"/>
      <c r="BO51" s="635"/>
      <c r="BP51" s="635"/>
      <c r="BQ51" s="635"/>
      <c r="BR51" s="635"/>
      <c r="BS51" s="635"/>
      <c r="BT51" s="635"/>
      <c r="BU51" s="635"/>
      <c r="BV51" s="635"/>
      <c r="BW51" s="635"/>
      <c r="BX51" s="635"/>
      <c r="BY51" s="635"/>
      <c r="BZ51" s="635"/>
      <c r="CA51" s="635"/>
      <c r="CB51" s="635"/>
      <c r="CC51" s="635"/>
      <c r="CD51" s="635"/>
      <c r="CE51" s="635"/>
      <c r="CF51" s="635"/>
      <c r="CG51" s="635"/>
      <c r="CH51" s="635"/>
      <c r="CI51" s="635"/>
      <c r="CJ51" s="635"/>
      <c r="CK51" s="635"/>
      <c r="CL51" s="635"/>
      <c r="CM51" s="635"/>
      <c r="CN51" s="635"/>
      <c r="CO51" s="635"/>
      <c r="CP51" s="635"/>
      <c r="CQ51" s="635"/>
      <c r="CR51" s="635"/>
      <c r="CS51" s="635"/>
      <c r="CT51" s="635"/>
      <c r="CU51" s="635"/>
      <c r="CV51" s="635"/>
      <c r="CW51" s="635"/>
      <c r="CX51" s="635"/>
      <c r="CY51" s="635"/>
      <c r="CZ51" s="635"/>
      <c r="DA51" s="635"/>
      <c r="DB51" s="635"/>
      <c r="DC51" s="635"/>
      <c r="DD51" s="635"/>
      <c r="DE51" s="635"/>
      <c r="DF51" s="635"/>
      <c r="DG51" s="635"/>
      <c r="DH51" s="635"/>
      <c r="DI51" s="635"/>
      <c r="DJ51" s="635"/>
      <c r="DK51" s="635"/>
      <c r="DL51" s="635"/>
      <c r="DM51" s="635"/>
      <c r="DN51" s="635"/>
      <c r="DO51" s="635"/>
      <c r="DP51" s="635"/>
      <c r="DQ51" s="635"/>
      <c r="DR51" s="635"/>
      <c r="DS51" s="635"/>
      <c r="DT51" s="635"/>
      <c r="DU51" s="635"/>
      <c r="DV51" s="635"/>
      <c r="DW51" s="635"/>
      <c r="DX51" s="635"/>
      <c r="DY51" s="635"/>
      <c r="DZ51" s="635"/>
      <c r="EA51" s="635"/>
      <c r="EB51" s="635"/>
      <c r="EC51" s="635"/>
      <c r="ED51" s="635"/>
      <c r="EE51" s="635"/>
      <c r="EF51" s="635"/>
      <c r="EG51" s="635"/>
      <c r="EH51" s="635"/>
      <c r="EI51" s="635"/>
      <c r="EJ51" s="635"/>
      <c r="EK51" s="635"/>
      <c r="EL51" s="635"/>
      <c r="EM51" s="635"/>
      <c r="EN51" s="635"/>
      <c r="EO51" s="635"/>
      <c r="EP51" s="635"/>
      <c r="EQ51" s="635"/>
      <c r="ER51" s="635"/>
      <c r="ES51" s="635"/>
      <c r="ET51" s="635"/>
      <c r="EU51" s="635"/>
      <c r="EV51" s="635"/>
      <c r="EW51" s="635"/>
      <c r="EX51" s="635"/>
      <c r="EY51" s="635"/>
      <c r="EZ51" s="635"/>
      <c r="FA51" s="635"/>
      <c r="FB51" s="635"/>
      <c r="FC51" s="635"/>
      <c r="FD51" s="635"/>
      <c r="FE51" s="635"/>
      <c r="FF51" s="635"/>
      <c r="FG51" s="635"/>
      <c r="FH51" s="635"/>
      <c r="FI51" s="635"/>
      <c r="FJ51" s="635"/>
      <c r="FK51" s="635"/>
      <c r="FL51" s="635"/>
      <c r="FM51" s="635"/>
      <c r="FN51" s="635"/>
      <c r="FO51" s="635"/>
      <c r="FP51" s="635"/>
      <c r="FQ51" s="635"/>
      <c r="FR51" s="635"/>
      <c r="FS51" s="635"/>
      <c r="FT51" s="635"/>
      <c r="FU51" s="635"/>
      <c r="FV51" s="635"/>
      <c r="FW51" s="635"/>
      <c r="FX51" s="635"/>
      <c r="FY51" s="635"/>
      <c r="FZ51" s="635"/>
      <c r="GA51" s="635"/>
      <c r="GB51" s="635"/>
      <c r="GC51" s="635"/>
      <c r="GD51" s="635"/>
      <c r="GE51" s="635"/>
      <c r="GF51" s="635"/>
      <c r="GG51" s="635"/>
      <c r="GH51" s="635"/>
      <c r="GI51" s="635"/>
      <c r="GJ51" s="635"/>
      <c r="GK51" s="635"/>
      <c r="GL51" s="635"/>
      <c r="GM51" s="635"/>
      <c r="GN51" s="635"/>
      <c r="GO51" s="635"/>
      <c r="GP51" s="635"/>
      <c r="GQ51" s="635"/>
      <c r="GR51" s="635"/>
      <c r="GS51" s="635"/>
      <c r="GT51" s="635"/>
      <c r="GU51" s="635"/>
      <c r="GV51" s="635"/>
      <c r="GW51" s="635"/>
      <c r="GX51" s="635"/>
      <c r="GY51" s="635"/>
      <c r="GZ51" s="635"/>
      <c r="HA51" s="635"/>
      <c r="HB51" s="635"/>
      <c r="HC51" s="635"/>
      <c r="HD51" s="635"/>
      <c r="HE51" s="635"/>
      <c r="HF51" s="635"/>
      <c r="HG51" s="635"/>
      <c r="HH51" s="635"/>
      <c r="HI51" s="635"/>
      <c r="HJ51" s="635"/>
      <c r="HK51" s="635"/>
      <c r="HL51" s="635"/>
      <c r="HM51" s="635"/>
      <c r="HN51" s="635"/>
      <c r="HO51" s="635"/>
      <c r="HP51" s="635"/>
      <c r="HQ51" s="635"/>
      <c r="HR51" s="635"/>
      <c r="HS51" s="635"/>
      <c r="HT51" s="635"/>
      <c r="HU51" s="635"/>
      <c r="HV51" s="635"/>
      <c r="HW51" s="635"/>
      <c r="HX51" s="635"/>
      <c r="HY51" s="635"/>
      <c r="HZ51" s="635"/>
      <c r="IA51" s="635"/>
      <c r="IB51" s="635"/>
      <c r="IC51" s="635"/>
      <c r="ID51" s="635"/>
      <c r="IE51" s="635"/>
      <c r="IF51" s="635"/>
      <c r="IG51" s="635"/>
      <c r="IH51" s="635"/>
      <c r="II51" s="635"/>
      <c r="IJ51" s="635"/>
      <c r="IK51" s="635"/>
      <c r="IL51" s="635"/>
      <c r="IM51" s="635"/>
      <c r="IN51" s="635"/>
      <c r="IO51" s="635"/>
      <c r="IP51" s="635"/>
      <c r="IQ51" s="635"/>
      <c r="IR51" s="635"/>
      <c r="IS51" s="635"/>
      <c r="IT51" s="635"/>
      <c r="IU51" s="635"/>
      <c r="IV51" s="635"/>
      <c r="IW51" s="635"/>
    </row>
    <row r="52" customFormat="false" ht="12.75" hidden="false" customHeight="false" outlineLevel="0" collapsed="false">
      <c r="A52" s="681" t="s">
        <v>630</v>
      </c>
      <c r="B52" s="682"/>
      <c r="C52" s="682"/>
      <c r="D52" s="682"/>
      <c r="E52" s="683" t="n">
        <f aca="false">E$6</f>
        <v>1</v>
      </c>
      <c r="F52" s="683" t="n">
        <f aca="false">F$6</f>
        <v>2</v>
      </c>
      <c r="G52" s="683" t="n">
        <f aca="false">G$6</f>
        <v>3</v>
      </c>
      <c r="H52" s="683" t="n">
        <f aca="false">H$6</f>
        <v>4</v>
      </c>
      <c r="I52" s="683" t="n">
        <f aca="false">I$6</f>
        <v>5</v>
      </c>
      <c r="J52" s="683" t="n">
        <f aca="false">J$6</f>
        <v>6</v>
      </c>
      <c r="K52" s="683" t="n">
        <f aca="false">K$6</f>
        <v>7</v>
      </c>
      <c r="L52" s="683" t="n">
        <f aca="false">L$6</f>
        <v>8</v>
      </c>
      <c r="M52" s="683" t="n">
        <f aca="false">M$6</f>
        <v>9</v>
      </c>
      <c r="N52" s="683" t="n">
        <f aca="false">N$6</f>
        <v>10</v>
      </c>
      <c r="O52" s="683" t="n">
        <f aca="false">O$6</f>
        <v>11</v>
      </c>
      <c r="P52" s="683" t="n">
        <f aca="false">P$6</f>
        <v>12</v>
      </c>
      <c r="Q52" s="683" t="n">
        <f aca="false">Q$6</f>
        <v>13</v>
      </c>
      <c r="R52" s="683" t="n">
        <f aca="false">R$6</f>
        <v>14</v>
      </c>
      <c r="S52" s="683" t="n">
        <f aca="false">S$6</f>
        <v>15</v>
      </c>
      <c r="T52" s="683" t="n">
        <f aca="false">T$6</f>
        <v>16</v>
      </c>
      <c r="U52" s="683" t="n">
        <f aca="false">U$6</f>
        <v>17</v>
      </c>
      <c r="V52" s="683" t="n">
        <f aca="false">V$6</f>
        <v>18</v>
      </c>
      <c r="W52" s="683" t="n">
        <f aca="false">W$6</f>
        <v>19</v>
      </c>
      <c r="X52" s="683" t="n">
        <f aca="false">X$6</f>
        <v>20</v>
      </c>
      <c r="Y52" s="683" t="n">
        <f aca="false">Y$6</f>
        <v>21</v>
      </c>
      <c r="Z52" s="683" t="n">
        <f aca="false">Z$6</f>
        <v>22</v>
      </c>
      <c r="AA52" s="683" t="n">
        <f aca="false">AA$6</f>
        <v>23</v>
      </c>
      <c r="AB52" s="683" t="n">
        <f aca="false">AB$6</f>
        <v>24</v>
      </c>
      <c r="AC52" s="683" t="n">
        <f aca="false">AC$6</f>
        <v>25</v>
      </c>
      <c r="AD52" s="683" t="n">
        <f aca="false">AD$6</f>
        <v>26</v>
      </c>
      <c r="AE52" s="683" t="n">
        <f aca="false">AE$6</f>
        <v>27</v>
      </c>
      <c r="AF52" s="683" t="n">
        <f aca="false">AF$6</f>
        <v>28</v>
      </c>
      <c r="AG52" s="683" t="n">
        <f aca="false">AG$6</f>
        <v>29</v>
      </c>
      <c r="AH52" s="683" t="n">
        <f aca="false">AH$6</f>
        <v>30</v>
      </c>
      <c r="AI52" s="683" t="n">
        <f aca="false">AI$6</f>
        <v>31</v>
      </c>
      <c r="AJ52" s="683" t="n">
        <f aca="false">AJ$6</f>
        <v>32</v>
      </c>
      <c r="AK52" s="683" t="n">
        <f aca="false">AK$6</f>
        <v>33</v>
      </c>
      <c r="AL52" s="683" t="n">
        <f aca="false">AL$6</f>
        <v>34</v>
      </c>
      <c r="AM52" s="683" t="n">
        <f aca="false">AM$6</f>
        <v>35</v>
      </c>
      <c r="AN52" s="683" t="n">
        <f aca="false">AN$6</f>
        <v>36</v>
      </c>
      <c r="AO52" s="682"/>
      <c r="AP52" s="684"/>
      <c r="AQ52" s="648" t="n">
        <f aca="false">AQ51+1</f>
        <v>46</v>
      </c>
      <c r="AR52" s="648" t="n">
        <f aca="false">AR51+1</f>
        <v>2</v>
      </c>
      <c r="AS52" s="635"/>
      <c r="AT52" s="635"/>
      <c r="AU52" s="635"/>
      <c r="AV52" s="635"/>
      <c r="AW52" s="635"/>
      <c r="AX52" s="635"/>
      <c r="AY52" s="635"/>
      <c r="AZ52" s="635"/>
      <c r="BA52" s="635"/>
      <c r="BB52" s="635"/>
      <c r="BC52" s="635"/>
      <c r="BD52" s="635"/>
      <c r="BE52" s="635"/>
      <c r="BF52" s="635"/>
      <c r="BG52" s="635"/>
      <c r="BH52" s="635"/>
      <c r="BI52" s="635"/>
      <c r="BJ52" s="635"/>
      <c r="BK52" s="635"/>
      <c r="BL52" s="635"/>
      <c r="BM52" s="635"/>
      <c r="BN52" s="635"/>
      <c r="BO52" s="635"/>
      <c r="BP52" s="635"/>
      <c r="BQ52" s="635"/>
      <c r="BR52" s="635"/>
      <c r="BS52" s="635"/>
      <c r="BT52" s="635"/>
      <c r="BU52" s="635"/>
      <c r="BV52" s="635"/>
      <c r="BW52" s="635"/>
      <c r="BX52" s="635"/>
      <c r="BY52" s="635"/>
      <c r="BZ52" s="635"/>
      <c r="CA52" s="635"/>
      <c r="CB52" s="635"/>
      <c r="CC52" s="635"/>
      <c r="CD52" s="635"/>
      <c r="CE52" s="635"/>
      <c r="CF52" s="635"/>
      <c r="CG52" s="635"/>
      <c r="CH52" s="635"/>
      <c r="CI52" s="635"/>
      <c r="CJ52" s="635"/>
      <c r="CK52" s="635"/>
      <c r="CL52" s="635"/>
      <c r="CM52" s="635"/>
      <c r="CN52" s="635"/>
      <c r="CO52" s="635"/>
      <c r="CP52" s="635"/>
      <c r="CQ52" s="635"/>
      <c r="CR52" s="635"/>
      <c r="CS52" s="635"/>
      <c r="CT52" s="635"/>
      <c r="CU52" s="635"/>
      <c r="CV52" s="635"/>
      <c r="CW52" s="635"/>
      <c r="CX52" s="635"/>
      <c r="CY52" s="635"/>
      <c r="CZ52" s="635"/>
      <c r="DA52" s="635"/>
      <c r="DB52" s="635"/>
      <c r="DC52" s="635"/>
      <c r="DD52" s="635"/>
      <c r="DE52" s="635"/>
      <c r="DF52" s="635"/>
      <c r="DG52" s="635"/>
      <c r="DH52" s="635"/>
      <c r="DI52" s="635"/>
      <c r="DJ52" s="635"/>
      <c r="DK52" s="635"/>
      <c r="DL52" s="635"/>
      <c r="DM52" s="635"/>
      <c r="DN52" s="635"/>
      <c r="DO52" s="635"/>
      <c r="DP52" s="635"/>
      <c r="DQ52" s="635"/>
      <c r="DR52" s="635"/>
      <c r="DS52" s="635"/>
      <c r="DT52" s="635"/>
      <c r="DU52" s="635"/>
      <c r="DV52" s="635"/>
      <c r="DW52" s="635"/>
      <c r="DX52" s="635"/>
      <c r="DY52" s="635"/>
      <c r="DZ52" s="635"/>
      <c r="EA52" s="635"/>
      <c r="EB52" s="635"/>
      <c r="EC52" s="635"/>
      <c r="ED52" s="635"/>
      <c r="EE52" s="635"/>
      <c r="EF52" s="635"/>
      <c r="EG52" s="635"/>
      <c r="EH52" s="635"/>
      <c r="EI52" s="635"/>
      <c r="EJ52" s="635"/>
      <c r="EK52" s="635"/>
      <c r="EL52" s="635"/>
      <c r="EM52" s="635"/>
      <c r="EN52" s="635"/>
      <c r="EO52" s="635"/>
      <c r="EP52" s="635"/>
      <c r="EQ52" s="635"/>
      <c r="ER52" s="635"/>
      <c r="ES52" s="635"/>
      <c r="ET52" s="635"/>
      <c r="EU52" s="635"/>
      <c r="EV52" s="635"/>
      <c r="EW52" s="635"/>
      <c r="EX52" s="635"/>
      <c r="EY52" s="635"/>
      <c r="EZ52" s="635"/>
      <c r="FA52" s="635"/>
      <c r="FB52" s="635"/>
      <c r="FC52" s="635"/>
      <c r="FD52" s="635"/>
      <c r="FE52" s="635"/>
      <c r="FF52" s="635"/>
      <c r="FG52" s="635"/>
      <c r="FH52" s="635"/>
      <c r="FI52" s="635"/>
      <c r="FJ52" s="635"/>
      <c r="FK52" s="635"/>
      <c r="FL52" s="635"/>
      <c r="FM52" s="635"/>
      <c r="FN52" s="635"/>
      <c r="FO52" s="635"/>
      <c r="FP52" s="635"/>
      <c r="FQ52" s="635"/>
      <c r="FR52" s="635"/>
      <c r="FS52" s="635"/>
      <c r="FT52" s="635"/>
      <c r="FU52" s="635"/>
      <c r="FV52" s="635"/>
      <c r="FW52" s="635"/>
      <c r="FX52" s="635"/>
      <c r="FY52" s="635"/>
      <c r="FZ52" s="635"/>
      <c r="GA52" s="635"/>
      <c r="GB52" s="635"/>
      <c r="GC52" s="635"/>
      <c r="GD52" s="635"/>
      <c r="GE52" s="635"/>
      <c r="GF52" s="635"/>
      <c r="GG52" s="635"/>
      <c r="GH52" s="635"/>
      <c r="GI52" s="635"/>
      <c r="GJ52" s="635"/>
      <c r="GK52" s="635"/>
      <c r="GL52" s="635"/>
      <c r="GM52" s="635"/>
      <c r="GN52" s="635"/>
      <c r="GO52" s="635"/>
      <c r="GP52" s="635"/>
      <c r="GQ52" s="635"/>
      <c r="GR52" s="635"/>
      <c r="GS52" s="635"/>
      <c r="GT52" s="635"/>
      <c r="GU52" s="635"/>
      <c r="GV52" s="635"/>
      <c r="GW52" s="635"/>
      <c r="GX52" s="635"/>
      <c r="GY52" s="635"/>
      <c r="GZ52" s="635"/>
      <c r="HA52" s="635"/>
      <c r="HB52" s="635"/>
      <c r="HC52" s="635"/>
      <c r="HD52" s="635"/>
      <c r="HE52" s="635"/>
      <c r="HF52" s="635"/>
      <c r="HG52" s="635"/>
      <c r="HH52" s="635"/>
      <c r="HI52" s="635"/>
      <c r="HJ52" s="635"/>
      <c r="HK52" s="635"/>
      <c r="HL52" s="635"/>
      <c r="HM52" s="635"/>
      <c r="HN52" s="635"/>
      <c r="HO52" s="635"/>
      <c r="HP52" s="635"/>
      <c r="HQ52" s="635"/>
      <c r="HR52" s="635"/>
      <c r="HS52" s="635"/>
      <c r="HT52" s="635"/>
      <c r="HU52" s="635"/>
      <c r="HV52" s="635"/>
      <c r="HW52" s="635"/>
      <c r="HX52" s="635"/>
      <c r="HY52" s="635"/>
      <c r="HZ52" s="635"/>
      <c r="IA52" s="635"/>
      <c r="IB52" s="635"/>
      <c r="IC52" s="635"/>
      <c r="ID52" s="635"/>
      <c r="IE52" s="635"/>
      <c r="IF52" s="635"/>
      <c r="IG52" s="635"/>
      <c r="IH52" s="635"/>
      <c r="II52" s="635"/>
      <c r="IJ52" s="635"/>
      <c r="IK52" s="635"/>
      <c r="IL52" s="635"/>
      <c r="IM52" s="635"/>
      <c r="IN52" s="635"/>
      <c r="IO52" s="635"/>
      <c r="IP52" s="635"/>
      <c r="IQ52" s="635"/>
      <c r="IR52" s="635"/>
      <c r="IS52" s="635"/>
      <c r="IT52" s="635"/>
      <c r="IU52" s="635"/>
      <c r="IV52" s="635"/>
      <c r="IW52" s="635"/>
    </row>
    <row r="53" customFormat="false" ht="12.75" hidden="false" customHeight="false" outlineLevel="0" collapsed="false">
      <c r="A53" s="685"/>
      <c r="B53" s="682" t="s">
        <v>631</v>
      </c>
      <c r="C53" s="682"/>
      <c r="D53" s="682"/>
      <c r="E53" s="686" t="n">
        <v>1192.06</v>
      </c>
      <c r="F53" s="687" t="n">
        <v>834.314</v>
      </c>
      <c r="G53" s="687" t="n">
        <v>381.118</v>
      </c>
      <c r="H53" s="687" t="n">
        <v>261.163</v>
      </c>
      <c r="I53" s="687" t="n">
        <v>235.915</v>
      </c>
      <c r="J53" s="687" t="n">
        <v>456.173</v>
      </c>
      <c r="K53" s="687" t="n">
        <v>7206.788</v>
      </c>
      <c r="L53" s="687" t="n">
        <v>134.695</v>
      </c>
      <c r="M53" s="687" t="n">
        <v>2782.702</v>
      </c>
      <c r="N53" s="687" t="n">
        <v>70.173</v>
      </c>
      <c r="O53" s="687" t="n">
        <v>7855.74</v>
      </c>
      <c r="P53" s="687" t="n">
        <v>3841.841</v>
      </c>
      <c r="Q53" s="687" t="n">
        <v>8774.394</v>
      </c>
      <c r="R53" s="687" t="n">
        <v>8620.463</v>
      </c>
      <c r="S53" s="687" t="n">
        <v>6053.05</v>
      </c>
      <c r="T53" s="687" t="n">
        <v>5356.232</v>
      </c>
      <c r="U53" s="687" t="n">
        <v>3101.92</v>
      </c>
      <c r="V53" s="687" t="n">
        <v>2169.972</v>
      </c>
      <c r="W53" s="687" t="n">
        <v>2331.975</v>
      </c>
      <c r="X53" s="687" t="n">
        <v>3787.004</v>
      </c>
      <c r="Y53" s="687" t="n">
        <v>42.688</v>
      </c>
      <c r="Z53" s="687" t="n">
        <v>46.229</v>
      </c>
      <c r="AA53" s="687" t="n">
        <v>44.858</v>
      </c>
      <c r="AB53" s="687" t="n">
        <v>42.811</v>
      </c>
      <c r="AC53" s="687" t="n">
        <v>788.253</v>
      </c>
      <c r="AD53" s="687" t="n">
        <v>0</v>
      </c>
      <c r="AE53" s="687" t="n">
        <v>0</v>
      </c>
      <c r="AF53" s="687" t="n">
        <v>0</v>
      </c>
      <c r="AG53" s="687" t="n">
        <v>0</v>
      </c>
      <c r="AH53" s="687" t="n">
        <v>0</v>
      </c>
      <c r="AI53" s="687" t="n">
        <v>0</v>
      </c>
      <c r="AJ53" s="687" t="n">
        <v>0</v>
      </c>
      <c r="AK53" s="687" t="n">
        <v>0</v>
      </c>
      <c r="AL53" s="687" t="n">
        <v>0</v>
      </c>
      <c r="AM53" s="687" t="n">
        <v>0</v>
      </c>
      <c r="AN53" s="688" t="n">
        <v>0</v>
      </c>
      <c r="AO53" s="689"/>
      <c r="AP53" s="690" t="n">
        <f aca="false">SUM(E53:AO53)</f>
        <v>66412.531</v>
      </c>
      <c r="AQ53" s="648" t="n">
        <f aca="false">AQ52+1</f>
        <v>47</v>
      </c>
      <c r="AR53" s="648" t="n">
        <f aca="false">AR52+1</f>
        <v>3</v>
      </c>
      <c r="AS53" s="635"/>
      <c r="AT53" s="635"/>
      <c r="AU53" s="635"/>
      <c r="AV53" s="635"/>
      <c r="AW53" s="635"/>
      <c r="AX53" s="635"/>
      <c r="AY53" s="635"/>
      <c r="AZ53" s="635"/>
      <c r="BA53" s="635"/>
      <c r="BB53" s="635"/>
      <c r="BC53" s="635"/>
      <c r="BD53" s="635"/>
      <c r="BE53" s="635"/>
      <c r="BF53" s="635"/>
      <c r="BG53" s="635"/>
      <c r="BH53" s="635"/>
      <c r="BI53" s="635"/>
      <c r="BJ53" s="635"/>
      <c r="BK53" s="635"/>
      <c r="BL53" s="635"/>
      <c r="BM53" s="635"/>
      <c r="BN53" s="635"/>
      <c r="BO53" s="635"/>
      <c r="BP53" s="635"/>
      <c r="BQ53" s="635"/>
      <c r="BR53" s="635"/>
      <c r="BS53" s="635"/>
      <c r="BT53" s="635"/>
      <c r="BU53" s="635"/>
      <c r="BV53" s="635"/>
      <c r="BW53" s="635"/>
      <c r="BX53" s="635"/>
      <c r="BY53" s="635"/>
      <c r="BZ53" s="635"/>
      <c r="CA53" s="635"/>
      <c r="CB53" s="635"/>
      <c r="CC53" s="635"/>
      <c r="CD53" s="635"/>
      <c r="CE53" s="635"/>
      <c r="CF53" s="635"/>
      <c r="CG53" s="635"/>
      <c r="CH53" s="635"/>
      <c r="CI53" s="635"/>
      <c r="CJ53" s="635"/>
      <c r="CK53" s="635"/>
      <c r="CL53" s="635"/>
      <c r="CM53" s="635"/>
      <c r="CN53" s="635"/>
      <c r="CO53" s="635"/>
      <c r="CP53" s="635"/>
      <c r="CQ53" s="635"/>
      <c r="CR53" s="635"/>
      <c r="CS53" s="635"/>
      <c r="CT53" s="635"/>
      <c r="CU53" s="635"/>
      <c r="CV53" s="635"/>
      <c r="CW53" s="635"/>
      <c r="CX53" s="635"/>
      <c r="CY53" s="635"/>
      <c r="CZ53" s="635"/>
      <c r="DA53" s="635"/>
      <c r="DB53" s="635"/>
      <c r="DC53" s="635"/>
      <c r="DD53" s="635"/>
      <c r="DE53" s="635"/>
      <c r="DF53" s="635"/>
      <c r="DG53" s="635"/>
      <c r="DH53" s="635"/>
      <c r="DI53" s="635"/>
      <c r="DJ53" s="635"/>
      <c r="DK53" s="635"/>
      <c r="DL53" s="635"/>
      <c r="DM53" s="635"/>
      <c r="DN53" s="635"/>
      <c r="DO53" s="635"/>
      <c r="DP53" s="635"/>
      <c r="DQ53" s="635"/>
      <c r="DR53" s="635"/>
      <c r="DS53" s="635"/>
      <c r="DT53" s="635"/>
      <c r="DU53" s="635"/>
      <c r="DV53" s="635"/>
      <c r="DW53" s="635"/>
      <c r="DX53" s="635"/>
      <c r="DY53" s="635"/>
      <c r="DZ53" s="635"/>
      <c r="EA53" s="635"/>
      <c r="EB53" s="635"/>
      <c r="EC53" s="635"/>
      <c r="ED53" s="635"/>
      <c r="EE53" s="635"/>
      <c r="EF53" s="635"/>
      <c r="EG53" s="635"/>
      <c r="EH53" s="635"/>
      <c r="EI53" s="635"/>
      <c r="EJ53" s="635"/>
      <c r="EK53" s="635"/>
      <c r="EL53" s="635"/>
      <c r="EM53" s="635"/>
      <c r="EN53" s="635"/>
      <c r="EO53" s="635"/>
      <c r="EP53" s="635"/>
      <c r="EQ53" s="635"/>
      <c r="ER53" s="635"/>
      <c r="ES53" s="635"/>
      <c r="ET53" s="635"/>
      <c r="EU53" s="635"/>
      <c r="EV53" s="635"/>
      <c r="EW53" s="635"/>
      <c r="EX53" s="635"/>
      <c r="EY53" s="635"/>
      <c r="EZ53" s="635"/>
      <c r="FA53" s="635"/>
      <c r="FB53" s="635"/>
      <c r="FC53" s="635"/>
      <c r="FD53" s="635"/>
      <c r="FE53" s="635"/>
      <c r="FF53" s="635"/>
      <c r="FG53" s="635"/>
      <c r="FH53" s="635"/>
      <c r="FI53" s="635"/>
      <c r="FJ53" s="635"/>
      <c r="FK53" s="635"/>
      <c r="FL53" s="635"/>
      <c r="FM53" s="635"/>
      <c r="FN53" s="635"/>
      <c r="FO53" s="635"/>
      <c r="FP53" s="635"/>
      <c r="FQ53" s="635"/>
      <c r="FR53" s="635"/>
      <c r="FS53" s="635"/>
      <c r="FT53" s="635"/>
      <c r="FU53" s="635"/>
      <c r="FV53" s="635"/>
      <c r="FW53" s="635"/>
      <c r="FX53" s="635"/>
      <c r="FY53" s="635"/>
      <c r="FZ53" s="635"/>
      <c r="GA53" s="635"/>
      <c r="GB53" s="635"/>
      <c r="GC53" s="635"/>
      <c r="GD53" s="635"/>
      <c r="GE53" s="635"/>
      <c r="GF53" s="635"/>
      <c r="GG53" s="635"/>
      <c r="GH53" s="635"/>
      <c r="GI53" s="635"/>
      <c r="GJ53" s="635"/>
      <c r="GK53" s="635"/>
      <c r="GL53" s="635"/>
      <c r="GM53" s="635"/>
      <c r="GN53" s="635"/>
      <c r="GO53" s="635"/>
      <c r="GP53" s="635"/>
      <c r="GQ53" s="635"/>
      <c r="GR53" s="635"/>
      <c r="GS53" s="635"/>
      <c r="GT53" s="635"/>
      <c r="GU53" s="635"/>
      <c r="GV53" s="635"/>
      <c r="GW53" s="635"/>
      <c r="GX53" s="635"/>
      <c r="GY53" s="635"/>
      <c r="GZ53" s="635"/>
      <c r="HA53" s="635"/>
      <c r="HB53" s="635"/>
      <c r="HC53" s="635"/>
      <c r="HD53" s="635"/>
      <c r="HE53" s="635"/>
      <c r="HF53" s="635"/>
      <c r="HG53" s="635"/>
      <c r="HH53" s="635"/>
      <c r="HI53" s="635"/>
      <c r="HJ53" s="635"/>
      <c r="HK53" s="635"/>
      <c r="HL53" s="635"/>
      <c r="HM53" s="635"/>
      <c r="HN53" s="635"/>
      <c r="HO53" s="635"/>
      <c r="HP53" s="635"/>
      <c r="HQ53" s="635"/>
      <c r="HR53" s="635"/>
      <c r="HS53" s="635"/>
      <c r="HT53" s="635"/>
      <c r="HU53" s="635"/>
      <c r="HV53" s="635"/>
      <c r="HW53" s="635"/>
      <c r="HX53" s="635"/>
      <c r="HY53" s="635"/>
      <c r="HZ53" s="635"/>
      <c r="IA53" s="635"/>
      <c r="IB53" s="635"/>
      <c r="IC53" s="635"/>
      <c r="ID53" s="635"/>
      <c r="IE53" s="635"/>
      <c r="IF53" s="635"/>
      <c r="IG53" s="635"/>
      <c r="IH53" s="635"/>
      <c r="II53" s="635"/>
      <c r="IJ53" s="635"/>
      <c r="IK53" s="635"/>
      <c r="IL53" s="635"/>
      <c r="IM53" s="635"/>
      <c r="IN53" s="635"/>
      <c r="IO53" s="635"/>
      <c r="IP53" s="635"/>
      <c r="IQ53" s="635"/>
      <c r="IR53" s="635"/>
      <c r="IS53" s="635"/>
      <c r="IT53" s="635"/>
      <c r="IU53" s="635"/>
      <c r="IV53" s="635"/>
      <c r="IW53" s="635"/>
    </row>
    <row r="54" customFormat="false" ht="12.75" hidden="false" customHeight="false" outlineLevel="0" collapsed="false">
      <c r="A54" s="685"/>
      <c r="B54" s="682" t="s">
        <v>632</v>
      </c>
      <c r="C54" s="682"/>
      <c r="D54" s="682"/>
      <c r="E54" s="689" t="n">
        <f aca="false">SUM($E53:E53)</f>
        <v>1192.06</v>
      </c>
      <c r="F54" s="689" t="n">
        <f aca="false">SUM($E53:F53)</f>
        <v>2026.374</v>
      </c>
      <c r="G54" s="689" t="n">
        <f aca="false">SUM($E53:G53)</f>
        <v>2407.492</v>
      </c>
      <c r="H54" s="689" t="n">
        <f aca="false">SUM($E53:H53)</f>
        <v>2668.655</v>
      </c>
      <c r="I54" s="689" t="n">
        <f aca="false">SUM($E53:I53)</f>
        <v>2904.57</v>
      </c>
      <c r="J54" s="689" t="n">
        <f aca="false">SUM($E53:J53)</f>
        <v>3360.743</v>
      </c>
      <c r="K54" s="689" t="n">
        <f aca="false">SUM($E53:K53)</f>
        <v>10567.531</v>
      </c>
      <c r="L54" s="689" t="n">
        <f aca="false">SUM($E53:L53)</f>
        <v>10702.226</v>
      </c>
      <c r="M54" s="689" t="n">
        <f aca="false">SUM($E53:M53)</f>
        <v>13484.928</v>
      </c>
      <c r="N54" s="689" t="n">
        <f aca="false">SUM($E53:N53)</f>
        <v>13555.101</v>
      </c>
      <c r="O54" s="689" t="n">
        <f aca="false">SUM($E53:O53)</f>
        <v>21410.841</v>
      </c>
      <c r="P54" s="689" t="n">
        <f aca="false">SUM($E53:P53)</f>
        <v>25252.682</v>
      </c>
      <c r="Q54" s="689" t="n">
        <f aca="false">SUM($E53:Q53)</f>
        <v>34027.076</v>
      </c>
      <c r="R54" s="689" t="n">
        <f aca="false">SUM($E53:R53)</f>
        <v>42647.539</v>
      </c>
      <c r="S54" s="689" t="n">
        <f aca="false">SUM($E53:S53)</f>
        <v>48700.589</v>
      </c>
      <c r="T54" s="689" t="n">
        <f aca="false">SUM($E53:T53)</f>
        <v>54056.821</v>
      </c>
      <c r="U54" s="689" t="n">
        <f aca="false">SUM($E53:U53)</f>
        <v>57158.741</v>
      </c>
      <c r="V54" s="689" t="n">
        <f aca="false">SUM($E53:V53)</f>
        <v>59328.713</v>
      </c>
      <c r="W54" s="689" t="n">
        <f aca="false">SUM($E53:W53)</f>
        <v>61660.688</v>
      </c>
      <c r="X54" s="689" t="n">
        <f aca="false">SUM($E53:X53)</f>
        <v>65447.692</v>
      </c>
      <c r="Y54" s="689" t="n">
        <f aca="false">SUM($E53:Y53)</f>
        <v>65490.38</v>
      </c>
      <c r="Z54" s="689" t="n">
        <f aca="false">SUM($E53:Z53)</f>
        <v>65536.609</v>
      </c>
      <c r="AA54" s="689" t="n">
        <f aca="false">SUM($E53:AA53)</f>
        <v>65581.467</v>
      </c>
      <c r="AB54" s="689" t="n">
        <f aca="false">SUM($E53:AB53)</f>
        <v>65624.278</v>
      </c>
      <c r="AC54" s="689" t="n">
        <f aca="false">SUM($E53:AC53)</f>
        <v>66412.531</v>
      </c>
      <c r="AD54" s="689" t="n">
        <f aca="false">SUM($E53:AD53)</f>
        <v>66412.531</v>
      </c>
      <c r="AE54" s="689" t="n">
        <f aca="false">SUM($E53:AE53)</f>
        <v>66412.531</v>
      </c>
      <c r="AF54" s="689" t="n">
        <f aca="false">SUM($E53:AF53)</f>
        <v>66412.531</v>
      </c>
      <c r="AG54" s="689" t="n">
        <f aca="false">SUM($E53:AG53)</f>
        <v>66412.531</v>
      </c>
      <c r="AH54" s="689" t="n">
        <f aca="false">SUM($E53:AH53)</f>
        <v>66412.531</v>
      </c>
      <c r="AI54" s="689" t="n">
        <f aca="false">SUM($E53:AI53)</f>
        <v>66412.531</v>
      </c>
      <c r="AJ54" s="689" t="n">
        <f aca="false">SUM($E53:AJ53)</f>
        <v>66412.531</v>
      </c>
      <c r="AK54" s="689" t="n">
        <f aca="false">SUM($E53:AK53)</f>
        <v>66412.531</v>
      </c>
      <c r="AL54" s="689" t="n">
        <f aca="false">SUM($E53:AL53)</f>
        <v>66412.531</v>
      </c>
      <c r="AM54" s="689" t="n">
        <f aca="false">SUM($E53:AM53)</f>
        <v>66412.531</v>
      </c>
      <c r="AN54" s="689" t="n">
        <f aca="false">SUM($E53:AN53)</f>
        <v>66412.531</v>
      </c>
      <c r="AO54" s="689"/>
      <c r="AP54" s="690"/>
      <c r="AQ54" s="648" t="n">
        <f aca="false">AQ53+1</f>
        <v>48</v>
      </c>
      <c r="AR54" s="648" t="n">
        <f aca="false">AR53+1</f>
        <v>4</v>
      </c>
      <c r="AS54" s="635"/>
      <c r="AT54" s="635"/>
      <c r="AU54" s="635"/>
      <c r="AV54" s="635"/>
      <c r="AW54" s="635"/>
      <c r="AX54" s="635"/>
      <c r="AY54" s="635"/>
      <c r="AZ54" s="635"/>
      <c r="BA54" s="635"/>
      <c r="BB54" s="635"/>
      <c r="BC54" s="635"/>
      <c r="BD54" s="635"/>
      <c r="BE54" s="635"/>
      <c r="BF54" s="635"/>
      <c r="BG54" s="635"/>
      <c r="BH54" s="635"/>
      <c r="BI54" s="635"/>
      <c r="BJ54" s="635"/>
      <c r="BK54" s="635"/>
      <c r="BL54" s="635"/>
      <c r="BM54" s="635"/>
      <c r="BN54" s="635"/>
      <c r="BO54" s="635"/>
      <c r="BP54" s="635"/>
      <c r="BQ54" s="635"/>
      <c r="BR54" s="635"/>
      <c r="BS54" s="635"/>
      <c r="BT54" s="635"/>
      <c r="BU54" s="635"/>
      <c r="BV54" s="635"/>
      <c r="BW54" s="635"/>
      <c r="BX54" s="635"/>
      <c r="BY54" s="635"/>
      <c r="BZ54" s="635"/>
      <c r="CA54" s="635"/>
      <c r="CB54" s="635"/>
      <c r="CC54" s="635"/>
      <c r="CD54" s="635"/>
      <c r="CE54" s="635"/>
      <c r="CF54" s="635"/>
      <c r="CG54" s="635"/>
      <c r="CH54" s="635"/>
      <c r="CI54" s="635"/>
      <c r="CJ54" s="635"/>
      <c r="CK54" s="635"/>
      <c r="CL54" s="635"/>
      <c r="CM54" s="635"/>
      <c r="CN54" s="635"/>
      <c r="CO54" s="635"/>
      <c r="CP54" s="635"/>
      <c r="CQ54" s="635"/>
      <c r="CR54" s="635"/>
      <c r="CS54" s="635"/>
      <c r="CT54" s="635"/>
      <c r="CU54" s="635"/>
      <c r="CV54" s="635"/>
      <c r="CW54" s="635"/>
      <c r="CX54" s="635"/>
      <c r="CY54" s="635"/>
      <c r="CZ54" s="635"/>
      <c r="DA54" s="635"/>
      <c r="DB54" s="635"/>
      <c r="DC54" s="635"/>
      <c r="DD54" s="635"/>
      <c r="DE54" s="635"/>
      <c r="DF54" s="635"/>
      <c r="DG54" s="635"/>
      <c r="DH54" s="635"/>
      <c r="DI54" s="635"/>
      <c r="DJ54" s="635"/>
      <c r="DK54" s="635"/>
      <c r="DL54" s="635"/>
      <c r="DM54" s="635"/>
      <c r="DN54" s="635"/>
      <c r="DO54" s="635"/>
      <c r="DP54" s="635"/>
      <c r="DQ54" s="635"/>
      <c r="DR54" s="635"/>
      <c r="DS54" s="635"/>
      <c r="DT54" s="635"/>
      <c r="DU54" s="635"/>
      <c r="DV54" s="635"/>
      <c r="DW54" s="635"/>
      <c r="DX54" s="635"/>
      <c r="DY54" s="635"/>
      <c r="DZ54" s="635"/>
      <c r="EA54" s="635"/>
      <c r="EB54" s="635"/>
      <c r="EC54" s="635"/>
      <c r="ED54" s="635"/>
      <c r="EE54" s="635"/>
      <c r="EF54" s="635"/>
      <c r="EG54" s="635"/>
      <c r="EH54" s="635"/>
      <c r="EI54" s="635"/>
      <c r="EJ54" s="635"/>
      <c r="EK54" s="635"/>
      <c r="EL54" s="635"/>
      <c r="EM54" s="635"/>
      <c r="EN54" s="635"/>
      <c r="EO54" s="635"/>
      <c r="EP54" s="635"/>
      <c r="EQ54" s="635"/>
      <c r="ER54" s="635"/>
      <c r="ES54" s="635"/>
      <c r="ET54" s="635"/>
      <c r="EU54" s="635"/>
      <c r="EV54" s="635"/>
      <c r="EW54" s="635"/>
      <c r="EX54" s="635"/>
      <c r="EY54" s="635"/>
      <c r="EZ54" s="635"/>
      <c r="FA54" s="635"/>
      <c r="FB54" s="635"/>
      <c r="FC54" s="635"/>
      <c r="FD54" s="635"/>
      <c r="FE54" s="635"/>
      <c r="FF54" s="635"/>
      <c r="FG54" s="635"/>
      <c r="FH54" s="635"/>
      <c r="FI54" s="635"/>
      <c r="FJ54" s="635"/>
      <c r="FK54" s="635"/>
      <c r="FL54" s="635"/>
      <c r="FM54" s="635"/>
      <c r="FN54" s="635"/>
      <c r="FO54" s="635"/>
      <c r="FP54" s="635"/>
      <c r="FQ54" s="635"/>
      <c r="FR54" s="635"/>
      <c r="FS54" s="635"/>
      <c r="FT54" s="635"/>
      <c r="FU54" s="635"/>
      <c r="FV54" s="635"/>
      <c r="FW54" s="635"/>
      <c r="FX54" s="635"/>
      <c r="FY54" s="635"/>
      <c r="FZ54" s="635"/>
      <c r="GA54" s="635"/>
      <c r="GB54" s="635"/>
      <c r="GC54" s="635"/>
      <c r="GD54" s="635"/>
      <c r="GE54" s="635"/>
      <c r="GF54" s="635"/>
      <c r="GG54" s="635"/>
      <c r="GH54" s="635"/>
      <c r="GI54" s="635"/>
      <c r="GJ54" s="635"/>
      <c r="GK54" s="635"/>
      <c r="GL54" s="635"/>
      <c r="GM54" s="635"/>
      <c r="GN54" s="635"/>
      <c r="GO54" s="635"/>
      <c r="GP54" s="635"/>
      <c r="GQ54" s="635"/>
      <c r="GR54" s="635"/>
      <c r="GS54" s="635"/>
      <c r="GT54" s="635"/>
      <c r="GU54" s="635"/>
      <c r="GV54" s="635"/>
      <c r="GW54" s="635"/>
      <c r="GX54" s="635"/>
      <c r="GY54" s="635"/>
      <c r="GZ54" s="635"/>
      <c r="HA54" s="635"/>
      <c r="HB54" s="635"/>
      <c r="HC54" s="635"/>
      <c r="HD54" s="635"/>
      <c r="HE54" s="635"/>
      <c r="HF54" s="635"/>
      <c r="HG54" s="635"/>
      <c r="HH54" s="635"/>
      <c r="HI54" s="635"/>
      <c r="HJ54" s="635"/>
      <c r="HK54" s="635"/>
      <c r="HL54" s="635"/>
      <c r="HM54" s="635"/>
      <c r="HN54" s="635"/>
      <c r="HO54" s="635"/>
      <c r="HP54" s="635"/>
      <c r="HQ54" s="635"/>
      <c r="HR54" s="635"/>
      <c r="HS54" s="635"/>
      <c r="HT54" s="635"/>
      <c r="HU54" s="635"/>
      <c r="HV54" s="635"/>
      <c r="HW54" s="635"/>
      <c r="HX54" s="635"/>
      <c r="HY54" s="635"/>
      <c r="HZ54" s="635"/>
      <c r="IA54" s="635"/>
      <c r="IB54" s="635"/>
      <c r="IC54" s="635"/>
      <c r="ID54" s="635"/>
      <c r="IE54" s="635"/>
      <c r="IF54" s="635"/>
      <c r="IG54" s="635"/>
      <c r="IH54" s="635"/>
      <c r="II54" s="635"/>
      <c r="IJ54" s="635"/>
      <c r="IK54" s="635"/>
      <c r="IL54" s="635"/>
      <c r="IM54" s="635"/>
      <c r="IN54" s="635"/>
      <c r="IO54" s="635"/>
      <c r="IP54" s="635"/>
      <c r="IQ54" s="635"/>
      <c r="IR54" s="635"/>
      <c r="IS54" s="635"/>
      <c r="IT54" s="635"/>
      <c r="IU54" s="635"/>
      <c r="IV54" s="635"/>
      <c r="IW54" s="635"/>
    </row>
    <row r="55" customFormat="false" ht="12.75" hidden="false" customHeight="false" outlineLevel="0" collapsed="false">
      <c r="A55" s="685"/>
      <c r="B55" s="682"/>
      <c r="C55" s="682"/>
      <c r="D55" s="682"/>
      <c r="E55" s="682"/>
      <c r="F55" s="682"/>
      <c r="G55" s="682"/>
      <c r="H55" s="682"/>
      <c r="I55" s="682"/>
      <c r="J55" s="682"/>
      <c r="K55" s="682"/>
      <c r="L55" s="682"/>
      <c r="M55" s="682"/>
      <c r="N55" s="682"/>
      <c r="O55" s="682"/>
      <c r="P55" s="682"/>
      <c r="Q55" s="682"/>
      <c r="R55" s="682"/>
      <c r="S55" s="682"/>
      <c r="T55" s="682"/>
      <c r="U55" s="682"/>
      <c r="V55" s="682"/>
      <c r="W55" s="682"/>
      <c r="X55" s="682"/>
      <c r="Y55" s="682"/>
      <c r="Z55" s="682"/>
      <c r="AA55" s="682"/>
      <c r="AB55" s="682"/>
      <c r="AC55" s="682"/>
      <c r="AD55" s="682"/>
      <c r="AE55" s="682"/>
      <c r="AF55" s="682"/>
      <c r="AG55" s="682"/>
      <c r="AH55" s="682"/>
      <c r="AI55" s="682"/>
      <c r="AJ55" s="682"/>
      <c r="AK55" s="682"/>
      <c r="AL55" s="682"/>
      <c r="AM55" s="682"/>
      <c r="AN55" s="682"/>
      <c r="AO55" s="682"/>
      <c r="AP55" s="684"/>
      <c r="AQ55" s="648" t="n">
        <f aca="false">AQ54+1</f>
        <v>49</v>
      </c>
      <c r="AR55" s="648" t="n">
        <f aca="false">AR54+1</f>
        <v>5</v>
      </c>
      <c r="AS55" s="635"/>
      <c r="AT55" s="635"/>
      <c r="AU55" s="635"/>
      <c r="AV55" s="635"/>
      <c r="AW55" s="635"/>
      <c r="AX55" s="635"/>
      <c r="AY55" s="635"/>
      <c r="AZ55" s="635"/>
      <c r="BA55" s="635"/>
      <c r="BB55" s="635"/>
      <c r="BC55" s="635"/>
      <c r="BD55" s="635"/>
      <c r="BE55" s="635"/>
      <c r="BF55" s="635"/>
      <c r="BG55" s="635"/>
      <c r="BH55" s="635"/>
      <c r="BI55" s="635"/>
      <c r="BJ55" s="635"/>
      <c r="BK55" s="635"/>
      <c r="BL55" s="635"/>
      <c r="BM55" s="635"/>
      <c r="BN55" s="635"/>
      <c r="BO55" s="635"/>
      <c r="BP55" s="635"/>
      <c r="BQ55" s="635"/>
      <c r="BR55" s="635"/>
      <c r="BS55" s="635"/>
      <c r="BT55" s="635"/>
      <c r="BU55" s="635"/>
      <c r="BV55" s="635"/>
      <c r="BW55" s="635"/>
      <c r="BX55" s="635"/>
      <c r="BY55" s="635"/>
      <c r="BZ55" s="635"/>
      <c r="CA55" s="635"/>
      <c r="CB55" s="635"/>
      <c r="CC55" s="635"/>
      <c r="CD55" s="635"/>
      <c r="CE55" s="635"/>
      <c r="CF55" s="635"/>
      <c r="CG55" s="635"/>
      <c r="CH55" s="635"/>
      <c r="CI55" s="635"/>
      <c r="CJ55" s="635"/>
      <c r="CK55" s="635"/>
      <c r="CL55" s="635"/>
      <c r="CM55" s="635"/>
      <c r="CN55" s="635"/>
      <c r="CO55" s="635"/>
      <c r="CP55" s="635"/>
      <c r="CQ55" s="635"/>
      <c r="CR55" s="635"/>
      <c r="CS55" s="635"/>
      <c r="CT55" s="635"/>
      <c r="CU55" s="635"/>
      <c r="CV55" s="635"/>
      <c r="CW55" s="635"/>
      <c r="CX55" s="635"/>
      <c r="CY55" s="635"/>
      <c r="CZ55" s="635"/>
      <c r="DA55" s="635"/>
      <c r="DB55" s="635"/>
      <c r="DC55" s="635"/>
      <c r="DD55" s="635"/>
      <c r="DE55" s="635"/>
      <c r="DF55" s="635"/>
      <c r="DG55" s="635"/>
      <c r="DH55" s="635"/>
      <c r="DI55" s="635"/>
      <c r="DJ55" s="635"/>
      <c r="DK55" s="635"/>
      <c r="DL55" s="635"/>
      <c r="DM55" s="635"/>
      <c r="DN55" s="635"/>
      <c r="DO55" s="635"/>
      <c r="DP55" s="635"/>
      <c r="DQ55" s="635"/>
      <c r="DR55" s="635"/>
      <c r="DS55" s="635"/>
      <c r="DT55" s="635"/>
      <c r="DU55" s="635"/>
      <c r="DV55" s="635"/>
      <c r="DW55" s="635"/>
      <c r="DX55" s="635"/>
      <c r="DY55" s="635"/>
      <c r="DZ55" s="635"/>
      <c r="EA55" s="635"/>
      <c r="EB55" s="635"/>
      <c r="EC55" s="635"/>
      <c r="ED55" s="635"/>
      <c r="EE55" s="635"/>
      <c r="EF55" s="635"/>
      <c r="EG55" s="635"/>
      <c r="EH55" s="635"/>
      <c r="EI55" s="635"/>
      <c r="EJ55" s="635"/>
      <c r="EK55" s="635"/>
      <c r="EL55" s="635"/>
      <c r="EM55" s="635"/>
      <c r="EN55" s="635"/>
      <c r="EO55" s="635"/>
      <c r="EP55" s="635"/>
      <c r="EQ55" s="635"/>
      <c r="ER55" s="635"/>
      <c r="ES55" s="635"/>
      <c r="ET55" s="635"/>
      <c r="EU55" s="635"/>
      <c r="EV55" s="635"/>
      <c r="EW55" s="635"/>
      <c r="EX55" s="635"/>
      <c r="EY55" s="635"/>
      <c r="EZ55" s="635"/>
      <c r="FA55" s="635"/>
      <c r="FB55" s="635"/>
      <c r="FC55" s="635"/>
      <c r="FD55" s="635"/>
      <c r="FE55" s="635"/>
      <c r="FF55" s="635"/>
      <c r="FG55" s="635"/>
      <c r="FH55" s="635"/>
      <c r="FI55" s="635"/>
      <c r="FJ55" s="635"/>
      <c r="FK55" s="635"/>
      <c r="FL55" s="635"/>
      <c r="FM55" s="635"/>
      <c r="FN55" s="635"/>
      <c r="FO55" s="635"/>
      <c r="FP55" s="635"/>
      <c r="FQ55" s="635"/>
      <c r="FR55" s="635"/>
      <c r="FS55" s="635"/>
      <c r="FT55" s="635"/>
      <c r="FU55" s="635"/>
      <c r="FV55" s="635"/>
      <c r="FW55" s="635"/>
      <c r="FX55" s="635"/>
      <c r="FY55" s="635"/>
      <c r="FZ55" s="635"/>
      <c r="GA55" s="635"/>
      <c r="GB55" s="635"/>
      <c r="GC55" s="635"/>
      <c r="GD55" s="635"/>
      <c r="GE55" s="635"/>
      <c r="GF55" s="635"/>
      <c r="GG55" s="635"/>
      <c r="GH55" s="635"/>
      <c r="GI55" s="635"/>
      <c r="GJ55" s="635"/>
      <c r="GK55" s="635"/>
      <c r="GL55" s="635"/>
      <c r="GM55" s="635"/>
      <c r="GN55" s="635"/>
      <c r="GO55" s="635"/>
      <c r="GP55" s="635"/>
      <c r="GQ55" s="635"/>
      <c r="GR55" s="635"/>
      <c r="GS55" s="635"/>
      <c r="GT55" s="635"/>
      <c r="GU55" s="635"/>
      <c r="GV55" s="635"/>
      <c r="GW55" s="635"/>
      <c r="GX55" s="635"/>
      <c r="GY55" s="635"/>
      <c r="GZ55" s="635"/>
      <c r="HA55" s="635"/>
      <c r="HB55" s="635"/>
      <c r="HC55" s="635"/>
      <c r="HD55" s="635"/>
      <c r="HE55" s="635"/>
      <c r="HF55" s="635"/>
      <c r="HG55" s="635"/>
      <c r="HH55" s="635"/>
      <c r="HI55" s="635"/>
      <c r="HJ55" s="635"/>
      <c r="HK55" s="635"/>
      <c r="HL55" s="635"/>
      <c r="HM55" s="635"/>
      <c r="HN55" s="635"/>
      <c r="HO55" s="635"/>
      <c r="HP55" s="635"/>
      <c r="HQ55" s="635"/>
      <c r="HR55" s="635"/>
      <c r="HS55" s="635"/>
      <c r="HT55" s="635"/>
      <c r="HU55" s="635"/>
      <c r="HV55" s="635"/>
      <c r="HW55" s="635"/>
      <c r="HX55" s="635"/>
      <c r="HY55" s="635"/>
      <c r="HZ55" s="635"/>
      <c r="IA55" s="635"/>
      <c r="IB55" s="635"/>
      <c r="IC55" s="635"/>
      <c r="ID55" s="635"/>
      <c r="IE55" s="635"/>
      <c r="IF55" s="635"/>
      <c r="IG55" s="635"/>
      <c r="IH55" s="635"/>
      <c r="II55" s="635"/>
      <c r="IJ55" s="635"/>
      <c r="IK55" s="635"/>
      <c r="IL55" s="635"/>
      <c r="IM55" s="635"/>
      <c r="IN55" s="635"/>
      <c r="IO55" s="635"/>
      <c r="IP55" s="635"/>
      <c r="IQ55" s="635"/>
      <c r="IR55" s="635"/>
      <c r="IS55" s="635"/>
      <c r="IT55" s="635"/>
      <c r="IU55" s="635"/>
      <c r="IV55" s="635"/>
      <c r="IW55" s="635"/>
    </row>
    <row r="56" customFormat="false" ht="12.75" hidden="false" customHeight="false" outlineLevel="0" collapsed="false">
      <c r="A56" s="685"/>
      <c r="B56" s="682" t="s">
        <v>633</v>
      </c>
      <c r="C56" s="682"/>
      <c r="D56" s="682"/>
      <c r="E56" s="691" t="n">
        <f aca="false">E53/$AP$53</f>
        <v>0.0179493234492147</v>
      </c>
      <c r="F56" s="691" t="n">
        <f aca="false">F53/$AP$53</f>
        <v>0.0125625990673357</v>
      </c>
      <c r="G56" s="691" t="n">
        <f aca="false">G53/$AP$53</f>
        <v>0.0057386459190962</v>
      </c>
      <c r="H56" s="691" t="n">
        <f aca="false">H53/$AP$53</f>
        <v>0.00393243558207411</v>
      </c>
      <c r="I56" s="691" t="n">
        <f aca="false">I53/$AP$53</f>
        <v>0.00355226636370778</v>
      </c>
      <c r="J56" s="691" t="n">
        <f aca="false">J53/$AP$53</f>
        <v>0.00686877902605459</v>
      </c>
      <c r="K56" s="691" t="n">
        <f aca="false">K53/$AP$53</f>
        <v>0.108515484826199</v>
      </c>
      <c r="L56" s="691" t="n">
        <f aca="false">L53/$AP$53</f>
        <v>0.00202815640319445</v>
      </c>
      <c r="M56" s="691" t="n">
        <f aca="false">M53/$AP$53</f>
        <v>0.0419002552394818</v>
      </c>
      <c r="N56" s="691" t="n">
        <f aca="false">N53/$AP$53</f>
        <v>0.00105662288341337</v>
      </c>
      <c r="O56" s="691" t="n">
        <f aca="false">O53/$AP$53</f>
        <v>0.118287014238322</v>
      </c>
      <c r="P56" s="691" t="n">
        <f aca="false">P53/$AP$53</f>
        <v>0.0578481341119193</v>
      </c>
      <c r="Q56" s="691" t="n">
        <f aca="false">Q53/$AP$53</f>
        <v>0.132119554365425</v>
      </c>
      <c r="R56" s="691" t="n">
        <f aca="false">R53/$AP$53</f>
        <v>0.129801753828656</v>
      </c>
      <c r="S56" s="691" t="n">
        <f aca="false">S53/$AP$53</f>
        <v>0.0911431910342342</v>
      </c>
      <c r="T56" s="691" t="n">
        <f aca="false">T53/$AP$53</f>
        <v>0.0806509241456255</v>
      </c>
      <c r="U56" s="691" t="n">
        <f aca="false">U53/$AP$53</f>
        <v>0.0467068481398488</v>
      </c>
      <c r="V56" s="691" t="n">
        <f aca="false">V53/$AP$53</f>
        <v>0.0326741349460089</v>
      </c>
      <c r="W56" s="691" t="n">
        <f aca="false">W53/$AP$53</f>
        <v>0.0351134788101962</v>
      </c>
      <c r="X56" s="691" t="n">
        <f aca="false">X53/$AP$53</f>
        <v>0.0570224315046809</v>
      </c>
      <c r="Y56" s="691" t="n">
        <f aca="false">Y53/$AP$53</f>
        <v>0.000642770262738518</v>
      </c>
      <c r="Z56" s="691" t="n">
        <f aca="false">Z53/$AP$53</f>
        <v>0.000696088513777618</v>
      </c>
      <c r="AA56" s="691" t="n">
        <f aca="false">AA53/$AP$53</f>
        <v>0.000675444819291709</v>
      </c>
      <c r="AB56" s="691" t="n">
        <f aca="false">AB53/$AP$53</f>
        <v>0.00064462232285651</v>
      </c>
      <c r="AC56" s="691" t="n">
        <f aca="false">AC53/$AP$53</f>
        <v>0.011869040196646</v>
      </c>
      <c r="AD56" s="691" t="n">
        <f aca="false">AD53/$AP$53</f>
        <v>0</v>
      </c>
      <c r="AE56" s="691" t="n">
        <f aca="false">AE53/$AP$53</f>
        <v>0</v>
      </c>
      <c r="AF56" s="691" t="n">
        <f aca="false">AF53/$AP$53</f>
        <v>0</v>
      </c>
      <c r="AG56" s="691" t="n">
        <f aca="false">AG53/$AP$53</f>
        <v>0</v>
      </c>
      <c r="AH56" s="691" t="n">
        <f aca="false">AH53/$AP$53</f>
        <v>0</v>
      </c>
      <c r="AI56" s="691" t="n">
        <f aca="false">AI53/$AP$53</f>
        <v>0</v>
      </c>
      <c r="AJ56" s="691" t="n">
        <f aca="false">AJ53/$AP$53</f>
        <v>0</v>
      </c>
      <c r="AK56" s="691" t="n">
        <f aca="false">AK53/$AP$53</f>
        <v>0</v>
      </c>
      <c r="AL56" s="691" t="n">
        <f aca="false">AL53/$AP$53</f>
        <v>0</v>
      </c>
      <c r="AM56" s="691" t="n">
        <f aca="false">AM53/$AP$53</f>
        <v>0</v>
      </c>
      <c r="AN56" s="691" t="n">
        <f aca="false">AN53/$AP$53</f>
        <v>0</v>
      </c>
      <c r="AO56" s="682"/>
      <c r="AP56" s="692" t="n">
        <f aca="false">SUM(E56:AO56)</f>
        <v>1</v>
      </c>
      <c r="AQ56" s="648" t="n">
        <f aca="false">AQ55+1</f>
        <v>50</v>
      </c>
      <c r="AR56" s="648" t="n">
        <f aca="false">AR55+1</f>
        <v>6</v>
      </c>
      <c r="AS56" s="635"/>
      <c r="AT56" s="693" t="s">
        <v>634</v>
      </c>
      <c r="AU56" s="694"/>
      <c r="AV56" s="694"/>
      <c r="AW56" s="694"/>
      <c r="AX56" s="695" t="s">
        <v>42</v>
      </c>
      <c r="AY56" s="695" t="s">
        <v>635</v>
      </c>
      <c r="AZ56" s="696" t="s">
        <v>636</v>
      </c>
      <c r="BA56" s="635"/>
      <c r="BB56" s="635"/>
      <c r="BC56" s="635"/>
      <c r="BD56" s="635"/>
      <c r="BE56" s="635"/>
      <c r="BF56" s="635"/>
      <c r="BG56" s="635"/>
      <c r="BH56" s="635"/>
      <c r="BI56" s="635"/>
      <c r="BJ56" s="635"/>
      <c r="BK56" s="635"/>
      <c r="BL56" s="635"/>
      <c r="BM56" s="635"/>
      <c r="BN56" s="635"/>
      <c r="BO56" s="635"/>
      <c r="BP56" s="635"/>
      <c r="BQ56" s="635"/>
      <c r="BR56" s="635"/>
      <c r="BS56" s="635"/>
      <c r="BT56" s="635"/>
      <c r="BU56" s="635"/>
      <c r="BV56" s="635"/>
      <c r="BW56" s="635"/>
      <c r="BX56" s="635"/>
      <c r="BY56" s="635"/>
      <c r="BZ56" s="635"/>
      <c r="CA56" s="635"/>
      <c r="CB56" s="635"/>
      <c r="CC56" s="635"/>
      <c r="CD56" s="635"/>
      <c r="CE56" s="635"/>
      <c r="CF56" s="635"/>
      <c r="CG56" s="635"/>
      <c r="CH56" s="635"/>
      <c r="CI56" s="635"/>
      <c r="CJ56" s="635"/>
      <c r="CK56" s="635"/>
      <c r="CL56" s="635"/>
      <c r="CM56" s="635"/>
      <c r="CN56" s="635"/>
      <c r="CO56" s="635"/>
      <c r="CP56" s="635"/>
      <c r="CQ56" s="635"/>
      <c r="CR56" s="635"/>
      <c r="CS56" s="635"/>
      <c r="CT56" s="635"/>
      <c r="CU56" s="635"/>
      <c r="CV56" s="635"/>
      <c r="CW56" s="635"/>
      <c r="CX56" s="635"/>
      <c r="CY56" s="635"/>
      <c r="CZ56" s="635"/>
      <c r="DA56" s="635"/>
      <c r="DB56" s="635"/>
      <c r="DC56" s="635"/>
      <c r="DD56" s="635"/>
      <c r="DE56" s="635"/>
      <c r="DF56" s="635"/>
      <c r="DG56" s="635"/>
      <c r="DH56" s="635"/>
      <c r="DI56" s="635"/>
      <c r="DJ56" s="635"/>
      <c r="DK56" s="635"/>
      <c r="DL56" s="635"/>
      <c r="DM56" s="635"/>
      <c r="DN56" s="635"/>
      <c r="DO56" s="635"/>
      <c r="DP56" s="635"/>
      <c r="DQ56" s="635"/>
      <c r="DR56" s="635"/>
      <c r="DS56" s="635"/>
      <c r="DT56" s="635"/>
      <c r="DU56" s="635"/>
      <c r="DV56" s="635"/>
      <c r="DW56" s="635"/>
      <c r="DX56" s="635"/>
      <c r="DY56" s="635"/>
      <c r="DZ56" s="635"/>
      <c r="EA56" s="635"/>
      <c r="EB56" s="635"/>
      <c r="EC56" s="635"/>
      <c r="ED56" s="635"/>
      <c r="EE56" s="635"/>
      <c r="EF56" s="635"/>
      <c r="EG56" s="635"/>
      <c r="EH56" s="635"/>
      <c r="EI56" s="635"/>
      <c r="EJ56" s="635"/>
      <c r="EK56" s="635"/>
      <c r="EL56" s="635"/>
      <c r="EM56" s="635"/>
      <c r="EN56" s="635"/>
      <c r="EO56" s="635"/>
      <c r="EP56" s="635"/>
      <c r="EQ56" s="635"/>
      <c r="ER56" s="635"/>
      <c r="ES56" s="635"/>
      <c r="ET56" s="635"/>
      <c r="EU56" s="635"/>
      <c r="EV56" s="635"/>
      <c r="EW56" s="635"/>
      <c r="EX56" s="635"/>
      <c r="EY56" s="635"/>
      <c r="EZ56" s="635"/>
      <c r="FA56" s="635"/>
      <c r="FB56" s="635"/>
      <c r="FC56" s="635"/>
      <c r="FD56" s="635"/>
      <c r="FE56" s="635"/>
      <c r="FF56" s="635"/>
      <c r="FG56" s="635"/>
      <c r="FH56" s="635"/>
      <c r="FI56" s="635"/>
      <c r="FJ56" s="635"/>
      <c r="FK56" s="635"/>
      <c r="FL56" s="635"/>
      <c r="FM56" s="635"/>
      <c r="FN56" s="635"/>
      <c r="FO56" s="635"/>
      <c r="FP56" s="635"/>
      <c r="FQ56" s="635"/>
      <c r="FR56" s="635"/>
      <c r="FS56" s="635"/>
      <c r="FT56" s="635"/>
      <c r="FU56" s="635"/>
      <c r="FV56" s="635"/>
      <c r="FW56" s="635"/>
      <c r="FX56" s="635"/>
      <c r="FY56" s="635"/>
      <c r="FZ56" s="635"/>
      <c r="GA56" s="635"/>
      <c r="GB56" s="635"/>
      <c r="GC56" s="635"/>
      <c r="GD56" s="635"/>
      <c r="GE56" s="635"/>
      <c r="GF56" s="635"/>
      <c r="GG56" s="635"/>
      <c r="GH56" s="635"/>
      <c r="GI56" s="635"/>
      <c r="GJ56" s="635"/>
      <c r="GK56" s="635"/>
      <c r="GL56" s="635"/>
      <c r="GM56" s="635"/>
      <c r="GN56" s="635"/>
      <c r="GO56" s="635"/>
      <c r="GP56" s="635"/>
      <c r="GQ56" s="635"/>
      <c r="GR56" s="635"/>
      <c r="GS56" s="635"/>
      <c r="GT56" s="635"/>
      <c r="GU56" s="635"/>
      <c r="GV56" s="635"/>
      <c r="GW56" s="635"/>
      <c r="GX56" s="635"/>
      <c r="GY56" s="635"/>
      <c r="GZ56" s="635"/>
      <c r="HA56" s="635"/>
      <c r="HB56" s="635"/>
      <c r="HC56" s="635"/>
      <c r="HD56" s="635"/>
      <c r="HE56" s="635"/>
      <c r="HF56" s="635"/>
      <c r="HG56" s="635"/>
      <c r="HH56" s="635"/>
      <c r="HI56" s="635"/>
      <c r="HJ56" s="635"/>
      <c r="HK56" s="635"/>
      <c r="HL56" s="635"/>
      <c r="HM56" s="635"/>
      <c r="HN56" s="635"/>
      <c r="HO56" s="635"/>
      <c r="HP56" s="635"/>
      <c r="HQ56" s="635"/>
      <c r="HR56" s="635"/>
      <c r="HS56" s="635"/>
      <c r="HT56" s="635"/>
      <c r="HU56" s="635"/>
      <c r="HV56" s="635"/>
      <c r="HW56" s="635"/>
      <c r="HX56" s="635"/>
      <c r="HY56" s="635"/>
      <c r="HZ56" s="635"/>
      <c r="IA56" s="635"/>
      <c r="IB56" s="635"/>
      <c r="IC56" s="635"/>
      <c r="ID56" s="635"/>
      <c r="IE56" s="635"/>
      <c r="IF56" s="635"/>
      <c r="IG56" s="635"/>
      <c r="IH56" s="635"/>
      <c r="II56" s="635"/>
      <c r="IJ56" s="635"/>
      <c r="IK56" s="635"/>
      <c r="IL56" s="635"/>
      <c r="IM56" s="635"/>
      <c r="IN56" s="635"/>
      <c r="IO56" s="635"/>
      <c r="IP56" s="635"/>
      <c r="IQ56" s="635"/>
      <c r="IR56" s="635"/>
      <c r="IS56" s="635"/>
      <c r="IT56" s="635"/>
      <c r="IU56" s="635"/>
      <c r="IV56" s="635"/>
      <c r="IW56" s="635"/>
    </row>
    <row r="57" customFormat="false" ht="12.75" hidden="false" customHeight="false" outlineLevel="0" collapsed="false">
      <c r="A57" s="697"/>
      <c r="B57" s="698" t="s">
        <v>637</v>
      </c>
      <c r="C57" s="698"/>
      <c r="D57" s="698"/>
      <c r="E57" s="699" t="n">
        <f aca="false">SUM($E56:E56)</f>
        <v>0.0179493234492147</v>
      </c>
      <c r="F57" s="699" t="n">
        <f aca="false">SUM($E56:F56)</f>
        <v>0.0305119225165504</v>
      </c>
      <c r="G57" s="699" t="n">
        <f aca="false">SUM($E56:G56)</f>
        <v>0.0362505684356466</v>
      </c>
      <c r="H57" s="699" t="n">
        <f aca="false">SUM($E56:H56)</f>
        <v>0.0401830040177207</v>
      </c>
      <c r="I57" s="699" t="n">
        <f aca="false">SUM($E56:I56)</f>
        <v>0.0437352703814285</v>
      </c>
      <c r="J57" s="699" t="n">
        <f aca="false">SUM($E56:J56)</f>
        <v>0.0506040494074831</v>
      </c>
      <c r="K57" s="699" t="n">
        <f aca="false">SUM($E56:K56)</f>
        <v>0.159119534233682</v>
      </c>
      <c r="L57" s="699" t="n">
        <f aca="false">SUM($E56:L56)</f>
        <v>0.161147690636877</v>
      </c>
      <c r="M57" s="699" t="n">
        <f aca="false">SUM($E56:M56)</f>
        <v>0.203047945876359</v>
      </c>
      <c r="N57" s="699" t="n">
        <f aca="false">SUM($E56:N56)</f>
        <v>0.204104568759772</v>
      </c>
      <c r="O57" s="699" t="n">
        <f aca="false">SUM($E56:O56)</f>
        <v>0.322391582998094</v>
      </c>
      <c r="P57" s="699" t="n">
        <f aca="false">SUM($E56:P56)</f>
        <v>0.380239717110013</v>
      </c>
      <c r="Q57" s="699" t="n">
        <f aca="false">SUM($E56:Q56)</f>
        <v>0.512359271475439</v>
      </c>
      <c r="R57" s="699" t="n">
        <f aca="false">SUM($E56:R56)</f>
        <v>0.642161025304095</v>
      </c>
      <c r="S57" s="699" t="n">
        <f aca="false">SUM($E56:S56)</f>
        <v>0.733304216338329</v>
      </c>
      <c r="T57" s="699" t="n">
        <f aca="false">SUM($E56:T56)</f>
        <v>0.813955140483955</v>
      </c>
      <c r="U57" s="699" t="n">
        <f aca="false">SUM($E56:U56)</f>
        <v>0.860661988623804</v>
      </c>
      <c r="V57" s="699" t="n">
        <f aca="false">SUM($E56:V56)</f>
        <v>0.893336123569812</v>
      </c>
      <c r="W57" s="699" t="n">
        <f aca="false">SUM($E56:W56)</f>
        <v>0.928449602380009</v>
      </c>
      <c r="X57" s="699" t="n">
        <f aca="false">SUM($E56:X56)</f>
        <v>0.98547203388469</v>
      </c>
      <c r="Y57" s="699" t="n">
        <f aca="false">SUM($E56:Y56)</f>
        <v>0.986114804147428</v>
      </c>
      <c r="Z57" s="699" t="n">
        <f aca="false">SUM($E56:Z56)</f>
        <v>0.986810892661206</v>
      </c>
      <c r="AA57" s="699" t="n">
        <f aca="false">SUM($E56:AA56)</f>
        <v>0.987486337480497</v>
      </c>
      <c r="AB57" s="699" t="n">
        <f aca="false">SUM($E56:AB56)</f>
        <v>0.988130959803354</v>
      </c>
      <c r="AC57" s="699" t="n">
        <f aca="false">SUM($E56:AC56)</f>
        <v>1</v>
      </c>
      <c r="AD57" s="699" t="n">
        <f aca="false">SUM($E56:AD56)</f>
        <v>1</v>
      </c>
      <c r="AE57" s="699" t="n">
        <f aca="false">SUM($E56:AE56)</f>
        <v>1</v>
      </c>
      <c r="AF57" s="699" t="n">
        <f aca="false">SUM($E56:AF56)</f>
        <v>1</v>
      </c>
      <c r="AG57" s="699" t="n">
        <f aca="false">SUM($E56:AG56)</f>
        <v>1</v>
      </c>
      <c r="AH57" s="699" t="n">
        <f aca="false">SUM($E56:AH56)</f>
        <v>1</v>
      </c>
      <c r="AI57" s="699" t="n">
        <f aca="false">SUM($E56:AI56)</f>
        <v>1</v>
      </c>
      <c r="AJ57" s="699" t="n">
        <f aca="false">SUM($E56:AJ56)</f>
        <v>1</v>
      </c>
      <c r="AK57" s="699" t="n">
        <f aca="false">SUM($E56:AK56)</f>
        <v>1</v>
      </c>
      <c r="AL57" s="699" t="n">
        <f aca="false">SUM($E56:AL56)</f>
        <v>1</v>
      </c>
      <c r="AM57" s="699" t="n">
        <f aca="false">SUM($E56:AM56)</f>
        <v>1</v>
      </c>
      <c r="AN57" s="699" t="n">
        <f aca="false">SUM($E56:AN56)</f>
        <v>1</v>
      </c>
      <c r="AO57" s="698"/>
      <c r="AP57" s="700"/>
      <c r="AQ57" s="648" t="n">
        <f aca="false">AQ56+1</f>
        <v>51</v>
      </c>
      <c r="AR57" s="648" t="n">
        <f aca="false">AR56+1</f>
        <v>7</v>
      </c>
      <c r="AS57" s="635"/>
      <c r="AT57" s="701"/>
      <c r="AU57" s="84"/>
      <c r="AV57" s="84"/>
      <c r="AW57" s="84"/>
      <c r="AX57" s="702" t="n">
        <f aca="false">SUM(AY57:AZ57)</f>
        <v>1</v>
      </c>
      <c r="AY57" s="703" t="n">
        <f aca="false">AY58/$AX58</f>
        <v>0.560368519391622</v>
      </c>
      <c r="AZ57" s="704" t="n">
        <f aca="false">AZ58/$AX58</f>
        <v>0.439631480608378</v>
      </c>
      <c r="BA57" s="635"/>
      <c r="BB57" s="635"/>
      <c r="BC57" s="635"/>
      <c r="BD57" s="635"/>
      <c r="BE57" s="635"/>
      <c r="BF57" s="635"/>
      <c r="BG57" s="635"/>
      <c r="BH57" s="635"/>
      <c r="BI57" s="635"/>
      <c r="BJ57" s="635"/>
      <c r="BK57" s="635"/>
      <c r="BL57" s="635"/>
      <c r="BM57" s="635"/>
      <c r="BN57" s="635"/>
      <c r="BO57" s="635"/>
      <c r="BP57" s="635"/>
      <c r="BQ57" s="635"/>
      <c r="BR57" s="635"/>
      <c r="BS57" s="635"/>
      <c r="BT57" s="635"/>
      <c r="BU57" s="635"/>
      <c r="BV57" s="635"/>
      <c r="BW57" s="635"/>
      <c r="BX57" s="635"/>
      <c r="BY57" s="635"/>
      <c r="BZ57" s="635"/>
      <c r="CA57" s="635"/>
      <c r="CB57" s="635"/>
      <c r="CC57" s="635"/>
      <c r="CD57" s="635"/>
      <c r="CE57" s="635"/>
      <c r="CF57" s="635"/>
      <c r="CG57" s="635"/>
      <c r="CH57" s="635"/>
      <c r="CI57" s="635"/>
      <c r="CJ57" s="635"/>
      <c r="CK57" s="635"/>
      <c r="CL57" s="635"/>
      <c r="CM57" s="635"/>
      <c r="CN57" s="635"/>
      <c r="CO57" s="635"/>
      <c r="CP57" s="635"/>
      <c r="CQ57" s="635"/>
      <c r="CR57" s="635"/>
      <c r="CS57" s="635"/>
      <c r="CT57" s="635"/>
      <c r="CU57" s="635"/>
      <c r="CV57" s="635"/>
      <c r="CW57" s="635"/>
      <c r="CX57" s="635"/>
      <c r="CY57" s="635"/>
      <c r="CZ57" s="635"/>
      <c r="DA57" s="635"/>
      <c r="DB57" s="635"/>
      <c r="DC57" s="635"/>
      <c r="DD57" s="635"/>
      <c r="DE57" s="635"/>
      <c r="DF57" s="635"/>
      <c r="DG57" s="635"/>
      <c r="DH57" s="635"/>
      <c r="DI57" s="635"/>
      <c r="DJ57" s="635"/>
      <c r="DK57" s="635"/>
      <c r="DL57" s="635"/>
      <c r="DM57" s="635"/>
      <c r="DN57" s="635"/>
      <c r="DO57" s="635"/>
      <c r="DP57" s="635"/>
      <c r="DQ57" s="635"/>
      <c r="DR57" s="635"/>
      <c r="DS57" s="635"/>
      <c r="DT57" s="635"/>
      <c r="DU57" s="635"/>
      <c r="DV57" s="635"/>
      <c r="DW57" s="635"/>
      <c r="DX57" s="635"/>
      <c r="DY57" s="635"/>
      <c r="DZ57" s="635"/>
      <c r="EA57" s="635"/>
      <c r="EB57" s="635"/>
      <c r="EC57" s="635"/>
      <c r="ED57" s="635"/>
      <c r="EE57" s="635"/>
      <c r="EF57" s="635"/>
      <c r="EG57" s="635"/>
      <c r="EH57" s="635"/>
      <c r="EI57" s="635"/>
      <c r="EJ57" s="635"/>
      <c r="EK57" s="635"/>
      <c r="EL57" s="635"/>
      <c r="EM57" s="635"/>
      <c r="EN57" s="635"/>
      <c r="EO57" s="635"/>
      <c r="EP57" s="635"/>
      <c r="EQ57" s="635"/>
      <c r="ER57" s="635"/>
      <c r="ES57" s="635"/>
      <c r="ET57" s="635"/>
      <c r="EU57" s="635"/>
      <c r="EV57" s="635"/>
      <c r="EW57" s="635"/>
      <c r="EX57" s="635"/>
      <c r="EY57" s="635"/>
      <c r="EZ57" s="635"/>
      <c r="FA57" s="635"/>
      <c r="FB57" s="635"/>
      <c r="FC57" s="635"/>
      <c r="FD57" s="635"/>
      <c r="FE57" s="635"/>
      <c r="FF57" s="635"/>
      <c r="FG57" s="635"/>
      <c r="FH57" s="635"/>
      <c r="FI57" s="635"/>
      <c r="FJ57" s="635"/>
      <c r="FK57" s="635"/>
      <c r="FL57" s="635"/>
      <c r="FM57" s="635"/>
      <c r="FN57" s="635"/>
      <c r="FO57" s="635"/>
      <c r="FP57" s="635"/>
      <c r="FQ57" s="635"/>
      <c r="FR57" s="635"/>
      <c r="FS57" s="635"/>
      <c r="FT57" s="635"/>
      <c r="FU57" s="635"/>
      <c r="FV57" s="635"/>
      <c r="FW57" s="635"/>
      <c r="FX57" s="635"/>
      <c r="FY57" s="635"/>
      <c r="FZ57" s="635"/>
      <c r="GA57" s="635"/>
      <c r="GB57" s="635"/>
      <c r="GC57" s="635"/>
      <c r="GD57" s="635"/>
      <c r="GE57" s="635"/>
      <c r="GF57" s="635"/>
      <c r="GG57" s="635"/>
      <c r="GH57" s="635"/>
      <c r="GI57" s="635"/>
      <c r="GJ57" s="635"/>
      <c r="GK57" s="635"/>
      <c r="GL57" s="635"/>
      <c r="GM57" s="635"/>
      <c r="GN57" s="635"/>
      <c r="GO57" s="635"/>
      <c r="GP57" s="635"/>
      <c r="GQ57" s="635"/>
      <c r="GR57" s="635"/>
      <c r="GS57" s="635"/>
      <c r="GT57" s="635"/>
      <c r="GU57" s="635"/>
      <c r="GV57" s="635"/>
      <c r="GW57" s="635"/>
      <c r="GX57" s="635"/>
      <c r="GY57" s="635"/>
      <c r="GZ57" s="635"/>
      <c r="HA57" s="635"/>
      <c r="HB57" s="635"/>
      <c r="HC57" s="635"/>
      <c r="HD57" s="635"/>
      <c r="HE57" s="635"/>
      <c r="HF57" s="635"/>
      <c r="HG57" s="635"/>
      <c r="HH57" s="635"/>
      <c r="HI57" s="635"/>
      <c r="HJ57" s="635"/>
      <c r="HK57" s="635"/>
      <c r="HL57" s="635"/>
      <c r="HM57" s="635"/>
      <c r="HN57" s="635"/>
      <c r="HO57" s="635"/>
      <c r="HP57" s="635"/>
      <c r="HQ57" s="635"/>
      <c r="HR57" s="635"/>
      <c r="HS57" s="635"/>
      <c r="HT57" s="635"/>
      <c r="HU57" s="635"/>
      <c r="HV57" s="635"/>
      <c r="HW57" s="635"/>
      <c r="HX57" s="635"/>
      <c r="HY57" s="635"/>
      <c r="HZ57" s="635"/>
      <c r="IA57" s="635"/>
      <c r="IB57" s="635"/>
      <c r="IC57" s="635"/>
      <c r="ID57" s="635"/>
      <c r="IE57" s="635"/>
      <c r="IF57" s="635"/>
      <c r="IG57" s="635"/>
      <c r="IH57" s="635"/>
      <c r="II57" s="635"/>
      <c r="IJ57" s="635"/>
      <c r="IK57" s="635"/>
      <c r="IL57" s="635"/>
      <c r="IM57" s="635"/>
      <c r="IN57" s="635"/>
      <c r="IO57" s="635"/>
      <c r="IP57" s="635"/>
      <c r="IQ57" s="635"/>
      <c r="IR57" s="635"/>
      <c r="IS57" s="635"/>
      <c r="IT57" s="635"/>
      <c r="IU57" s="635"/>
      <c r="IV57" s="635"/>
      <c r="IW57" s="635"/>
    </row>
    <row r="58" customFormat="false" ht="12.75" hidden="false" customHeight="false" outlineLevel="0" collapsed="false">
      <c r="A58" s="705"/>
      <c r="B58" s="706"/>
      <c r="C58" s="706"/>
      <c r="D58" s="706"/>
      <c r="E58" s="706"/>
      <c r="F58" s="706"/>
      <c r="G58" s="706"/>
      <c r="H58" s="706"/>
      <c r="I58" s="706"/>
      <c r="J58" s="706"/>
      <c r="K58" s="706"/>
      <c r="L58" s="706"/>
      <c r="M58" s="706"/>
      <c r="N58" s="706"/>
      <c r="O58" s="706"/>
      <c r="P58" s="706"/>
      <c r="Q58" s="706"/>
      <c r="R58" s="706"/>
      <c r="S58" s="706"/>
      <c r="T58" s="706"/>
      <c r="U58" s="706"/>
      <c r="V58" s="706"/>
      <c r="W58" s="706"/>
      <c r="X58" s="706"/>
      <c r="Y58" s="706"/>
      <c r="Z58" s="706"/>
      <c r="AA58" s="706"/>
      <c r="AB58" s="706"/>
      <c r="AC58" s="706"/>
      <c r="AD58" s="706"/>
      <c r="AE58" s="706"/>
      <c r="AF58" s="706"/>
      <c r="AG58" s="706"/>
      <c r="AH58" s="706"/>
      <c r="AI58" s="706"/>
      <c r="AJ58" s="706"/>
      <c r="AK58" s="706"/>
      <c r="AL58" s="706"/>
      <c r="AM58" s="706"/>
      <c r="AN58" s="706"/>
      <c r="AO58" s="706"/>
      <c r="AP58" s="707"/>
      <c r="AQ58" s="648" t="n">
        <f aca="false">AQ57+1</f>
        <v>52</v>
      </c>
      <c r="AR58" s="648" t="n">
        <f aca="false">AR57+1</f>
        <v>8</v>
      </c>
      <c r="AT58" s="701" t="s">
        <v>638</v>
      </c>
      <c r="AU58" s="84"/>
      <c r="AV58" s="84"/>
      <c r="AW58" s="84"/>
      <c r="AX58" s="174" t="n">
        <f aca="false">SUM(AY58:AZ58)</f>
        <v>57267</v>
      </c>
      <c r="AY58" s="98" t="n">
        <v>32090.624</v>
      </c>
      <c r="AZ58" s="708" t="n">
        <v>25176.376</v>
      </c>
    </row>
    <row r="59" customFormat="false" ht="12.75" hidden="false" customHeight="false" outlineLevel="0" collapsed="false">
      <c r="A59" s="675" t="s">
        <v>639</v>
      </c>
      <c r="B59" s="84"/>
      <c r="C59" s="709" t="n">
        <f aca="false">Pipe_NTP</f>
        <v>36342</v>
      </c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647"/>
      <c r="AQ59" s="648" t="n">
        <f aca="false">AQ58+1</f>
        <v>53</v>
      </c>
      <c r="AR59" s="648" t="n">
        <f aca="false">AR58+1</f>
        <v>9</v>
      </c>
      <c r="AS59" s="84"/>
      <c r="AT59" s="701" t="s">
        <v>640</v>
      </c>
      <c r="AU59" s="710" t="n">
        <v>36220</v>
      </c>
      <c r="AV59" s="84"/>
      <c r="AW59" s="84"/>
      <c r="AX59" s="617" t="n">
        <v>-15000</v>
      </c>
      <c r="AY59" s="484" t="n">
        <f aca="false">$AX59*AY57</f>
        <v>-8405.52779087433</v>
      </c>
      <c r="AZ59" s="711" t="n">
        <f aca="false">$AX59*AZ57</f>
        <v>-6594.47220912567</v>
      </c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</row>
    <row r="60" customFormat="false" ht="12.75" hidden="false" customHeight="false" outlineLevel="0" collapsed="false">
      <c r="A60" s="37" t="s">
        <v>641</v>
      </c>
      <c r="B60" s="39"/>
      <c r="C60" s="709" t="n">
        <f aca="false">Pipe_RFS</f>
        <v>36892</v>
      </c>
      <c r="D60" s="39"/>
      <c r="E60" s="39"/>
      <c r="F60" s="39"/>
      <c r="G60" s="39"/>
      <c r="H60" s="712" t="s">
        <v>642</v>
      </c>
      <c r="I60" s="139" t="n">
        <v>2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298"/>
      <c r="AQ60" s="648" t="n">
        <f aca="false">AQ59+1</f>
        <v>54</v>
      </c>
      <c r="AR60" s="648" t="n">
        <f aca="false">AR59+1</f>
        <v>10</v>
      </c>
      <c r="AS60" s="39"/>
      <c r="AT60" s="713" t="n">
        <f aca="false">EDATE(AU59,1)</f>
        <v>36251</v>
      </c>
      <c r="AU60" s="84" t="s">
        <v>643</v>
      </c>
      <c r="AV60" s="710" t="n">
        <v>36373</v>
      </c>
      <c r="AW60" s="84"/>
      <c r="AX60" s="174" t="n">
        <f aca="false">SUM(AX58:AX59)</f>
        <v>42267</v>
      </c>
      <c r="AY60" s="174" t="n">
        <f aca="false">SUM(AY58:AY59)</f>
        <v>23685.0962091257</v>
      </c>
      <c r="AZ60" s="714" t="n">
        <f aca="false">SUM(AZ58:AZ59)</f>
        <v>18581.9037908743</v>
      </c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</row>
    <row r="61" customFormat="false" ht="12.75" hidden="false" customHeight="false" outlineLevel="0" collapsed="false">
      <c r="A61" s="675" t="s">
        <v>644</v>
      </c>
      <c r="B61" s="84"/>
      <c r="C61" s="715" t="n">
        <f aca="false">ROUND((C60-C59)/(365/12),0)</f>
        <v>18</v>
      </c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716" t="n">
        <v>1</v>
      </c>
      <c r="W61" s="716" t="n">
        <f aca="false">V61+1</f>
        <v>2</v>
      </c>
      <c r="X61" s="716" t="n">
        <f aca="false">W61+1</f>
        <v>3</v>
      </c>
      <c r="Y61" s="716" t="n">
        <f aca="false">X61+1</f>
        <v>4</v>
      </c>
      <c r="Z61" s="716" t="n">
        <f aca="false">Y61+1</f>
        <v>5</v>
      </c>
      <c r="AA61" s="716" t="n">
        <f aca="false">Z61+1</f>
        <v>6</v>
      </c>
      <c r="AB61" s="716" t="n">
        <f aca="false">AA61+1</f>
        <v>7</v>
      </c>
      <c r="AC61" s="716" t="n">
        <f aca="false">AB61+1</f>
        <v>8</v>
      </c>
      <c r="AD61" s="716" t="n">
        <f aca="false">AC61+1</f>
        <v>9</v>
      </c>
      <c r="AE61" s="716" t="n">
        <f aca="false">AD61+1</f>
        <v>10</v>
      </c>
      <c r="AF61" s="716" t="n">
        <f aca="false">AE61+1</f>
        <v>11</v>
      </c>
      <c r="AG61" s="716" t="n">
        <f aca="false">AF61+1</f>
        <v>12</v>
      </c>
      <c r="AH61" s="716" t="n">
        <f aca="false">AG61+1</f>
        <v>13</v>
      </c>
      <c r="AI61" s="716" t="n">
        <f aca="false">AH61+1</f>
        <v>14</v>
      </c>
      <c r="AJ61" s="716" t="n">
        <f aca="false">AI61+1</f>
        <v>15</v>
      </c>
      <c r="AK61" s="716" t="n">
        <f aca="false">AJ61+1</f>
        <v>16</v>
      </c>
      <c r="AL61" s="716" t="n">
        <f aca="false">AK61+1</f>
        <v>17</v>
      </c>
      <c r="AM61" s="716" t="n">
        <f aca="false">AL61+1</f>
        <v>18</v>
      </c>
      <c r="AN61" s="716" t="n">
        <f aca="false">AM61+1</f>
        <v>19</v>
      </c>
      <c r="AO61" s="84"/>
      <c r="AP61" s="647"/>
      <c r="AQ61" s="648" t="n">
        <f aca="false">AQ60+1</f>
        <v>55</v>
      </c>
      <c r="AR61" s="648" t="n">
        <f aca="false">AR60+1</f>
        <v>11</v>
      </c>
      <c r="AS61" s="84"/>
      <c r="AT61" s="701" t="s">
        <v>645</v>
      </c>
      <c r="AU61" s="84"/>
      <c r="AV61" s="717" t="n">
        <f aca="false">ROUND((AV60-AT60)/(365/12),0)+1</f>
        <v>5</v>
      </c>
      <c r="AW61" s="84" t="s">
        <v>646</v>
      </c>
      <c r="AX61" s="174" t="n">
        <f aca="false">AX60/$AV61</f>
        <v>8453.4</v>
      </c>
      <c r="AY61" s="174" t="n">
        <f aca="false">AY60/$AV61</f>
        <v>4737.01924182513</v>
      </c>
      <c r="AZ61" s="714" t="n">
        <f aca="false">AZ60/$AV61</f>
        <v>3716.38075817487</v>
      </c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</row>
    <row r="62" customFormat="false" ht="12.75" hidden="false" customHeight="false" outlineLevel="0" collapsed="false">
      <c r="A62" s="676" t="s">
        <v>647</v>
      </c>
      <c r="B62" s="677"/>
      <c r="C62" s="677"/>
      <c r="D62" s="677"/>
      <c r="E62" s="678" t="n">
        <v>35886</v>
      </c>
      <c r="F62" s="679" t="n">
        <v>35916</v>
      </c>
      <c r="G62" s="679" t="n">
        <v>35947</v>
      </c>
      <c r="H62" s="679" t="n">
        <v>35977</v>
      </c>
      <c r="I62" s="679" t="n">
        <v>36008</v>
      </c>
      <c r="J62" s="679" t="n">
        <v>36039</v>
      </c>
      <c r="K62" s="679" t="n">
        <v>36069</v>
      </c>
      <c r="L62" s="679" t="n">
        <v>36100</v>
      </c>
      <c r="M62" s="679" t="n">
        <v>36130</v>
      </c>
      <c r="N62" s="679" t="n">
        <v>36161</v>
      </c>
      <c r="O62" s="679" t="n">
        <v>36192</v>
      </c>
      <c r="P62" s="679" t="n">
        <v>36220</v>
      </c>
      <c r="Q62" s="679" t="n">
        <v>36251</v>
      </c>
      <c r="R62" s="679" t="n">
        <v>36281</v>
      </c>
      <c r="S62" s="679" t="n">
        <v>36312</v>
      </c>
      <c r="T62" s="679" t="n">
        <v>36342</v>
      </c>
      <c r="U62" s="679" t="n">
        <v>36373</v>
      </c>
      <c r="V62" s="679" t="n">
        <v>36404</v>
      </c>
      <c r="W62" s="679" t="n">
        <v>36434</v>
      </c>
      <c r="X62" s="679" t="n">
        <v>36465</v>
      </c>
      <c r="Y62" s="679" t="n">
        <v>36495</v>
      </c>
      <c r="Z62" s="679" t="n">
        <v>36526</v>
      </c>
      <c r="AA62" s="679" t="n">
        <v>36557</v>
      </c>
      <c r="AB62" s="679" t="n">
        <v>36586</v>
      </c>
      <c r="AC62" s="679" t="n">
        <v>36617</v>
      </c>
      <c r="AD62" s="679" t="n">
        <v>36647</v>
      </c>
      <c r="AE62" s="679" t="n">
        <v>36678</v>
      </c>
      <c r="AF62" s="679" t="n">
        <v>36708</v>
      </c>
      <c r="AG62" s="679" t="n">
        <v>36739</v>
      </c>
      <c r="AH62" s="679" t="n">
        <v>36770</v>
      </c>
      <c r="AI62" s="679" t="n">
        <v>36800</v>
      </c>
      <c r="AJ62" s="679" t="n">
        <v>36831</v>
      </c>
      <c r="AK62" s="679" t="n">
        <v>36861</v>
      </c>
      <c r="AL62" s="679" t="n">
        <v>36892</v>
      </c>
      <c r="AM62" s="679" t="n">
        <v>36923</v>
      </c>
      <c r="AN62" s="679" t="n">
        <v>36951</v>
      </c>
      <c r="AO62" s="677"/>
      <c r="AP62" s="680"/>
      <c r="AQ62" s="648" t="n">
        <f aca="false">AQ61+1</f>
        <v>56</v>
      </c>
      <c r="AR62" s="648" t="n">
        <f aca="false">AR61+1</f>
        <v>12</v>
      </c>
      <c r="AS62" s="635"/>
      <c r="AT62" s="701"/>
      <c r="AU62" s="84"/>
      <c r="AV62" s="84"/>
      <c r="AW62" s="84"/>
      <c r="AX62" s="84"/>
      <c r="AY62" s="84"/>
      <c r="AZ62" s="718"/>
      <c r="BA62" s="635"/>
      <c r="BB62" s="635"/>
      <c r="BC62" s="635"/>
      <c r="BD62" s="635"/>
      <c r="BE62" s="635"/>
      <c r="BF62" s="635"/>
      <c r="BG62" s="635"/>
      <c r="BH62" s="635"/>
      <c r="BI62" s="635"/>
      <c r="BJ62" s="635"/>
      <c r="BK62" s="635"/>
      <c r="BL62" s="635"/>
      <c r="BM62" s="635"/>
      <c r="BN62" s="635"/>
      <c r="BO62" s="635"/>
      <c r="BP62" s="635"/>
      <c r="BQ62" s="635"/>
      <c r="BR62" s="635"/>
      <c r="BS62" s="635"/>
      <c r="BT62" s="635"/>
      <c r="BU62" s="635"/>
      <c r="BV62" s="635"/>
      <c r="BW62" s="635"/>
      <c r="BX62" s="635"/>
      <c r="BY62" s="635"/>
      <c r="BZ62" s="635"/>
      <c r="CA62" s="635"/>
      <c r="CB62" s="635"/>
      <c r="CC62" s="635"/>
      <c r="CD62" s="635"/>
      <c r="CE62" s="635"/>
      <c r="CF62" s="635"/>
      <c r="CG62" s="635"/>
      <c r="CH62" s="635"/>
      <c r="CI62" s="635"/>
      <c r="CJ62" s="635"/>
      <c r="CK62" s="635"/>
      <c r="CL62" s="635"/>
      <c r="CM62" s="635"/>
      <c r="CN62" s="635"/>
      <c r="CO62" s="635"/>
      <c r="CP62" s="635"/>
      <c r="CQ62" s="635"/>
      <c r="CR62" s="635"/>
      <c r="CS62" s="635"/>
      <c r="CT62" s="635"/>
      <c r="CU62" s="635"/>
      <c r="CV62" s="635"/>
      <c r="CW62" s="635"/>
      <c r="CX62" s="635"/>
      <c r="CY62" s="635"/>
      <c r="CZ62" s="635"/>
      <c r="DA62" s="635"/>
      <c r="DB62" s="635"/>
      <c r="DC62" s="635"/>
      <c r="DD62" s="635"/>
      <c r="DE62" s="635"/>
      <c r="DF62" s="635"/>
      <c r="DG62" s="635"/>
      <c r="DH62" s="635"/>
      <c r="DI62" s="635"/>
      <c r="DJ62" s="635"/>
      <c r="DK62" s="635"/>
      <c r="DL62" s="635"/>
      <c r="DM62" s="635"/>
      <c r="DN62" s="635"/>
      <c r="DO62" s="635"/>
      <c r="DP62" s="635"/>
      <c r="DQ62" s="635"/>
      <c r="DR62" s="635"/>
      <c r="DS62" s="635"/>
      <c r="DT62" s="635"/>
      <c r="DU62" s="635"/>
      <c r="DV62" s="635"/>
      <c r="DW62" s="635"/>
      <c r="DX62" s="635"/>
      <c r="DY62" s="635"/>
      <c r="DZ62" s="635"/>
      <c r="EA62" s="635"/>
      <c r="EB62" s="635"/>
      <c r="EC62" s="635"/>
      <c r="ED62" s="635"/>
      <c r="EE62" s="635"/>
      <c r="EF62" s="635"/>
      <c r="EG62" s="635"/>
      <c r="EH62" s="635"/>
      <c r="EI62" s="635"/>
      <c r="EJ62" s="635"/>
      <c r="EK62" s="635"/>
      <c r="EL62" s="635"/>
      <c r="EM62" s="635"/>
      <c r="EN62" s="635"/>
      <c r="EO62" s="635"/>
      <c r="EP62" s="635"/>
      <c r="EQ62" s="635"/>
      <c r="ER62" s="635"/>
      <c r="ES62" s="635"/>
      <c r="ET62" s="635"/>
      <c r="EU62" s="635"/>
      <c r="EV62" s="635"/>
      <c r="EW62" s="635"/>
      <c r="EX62" s="635"/>
      <c r="EY62" s="635"/>
      <c r="EZ62" s="635"/>
      <c r="FA62" s="635"/>
      <c r="FB62" s="635"/>
      <c r="FC62" s="635"/>
      <c r="FD62" s="635"/>
      <c r="FE62" s="635"/>
      <c r="FF62" s="635"/>
      <c r="FG62" s="635"/>
      <c r="FH62" s="635"/>
      <c r="FI62" s="635"/>
      <c r="FJ62" s="635"/>
      <c r="FK62" s="635"/>
      <c r="FL62" s="635"/>
      <c r="FM62" s="635"/>
      <c r="FN62" s="635"/>
      <c r="FO62" s="635"/>
      <c r="FP62" s="635"/>
      <c r="FQ62" s="635"/>
      <c r="FR62" s="635"/>
      <c r="FS62" s="635"/>
      <c r="FT62" s="635"/>
      <c r="FU62" s="635"/>
      <c r="FV62" s="635"/>
      <c r="FW62" s="635"/>
      <c r="FX62" s="635"/>
      <c r="FY62" s="635"/>
      <c r="FZ62" s="635"/>
      <c r="GA62" s="635"/>
      <c r="GB62" s="635"/>
      <c r="GC62" s="635"/>
      <c r="GD62" s="635"/>
      <c r="GE62" s="635"/>
      <c r="GF62" s="635"/>
      <c r="GG62" s="635"/>
      <c r="GH62" s="635"/>
      <c r="GI62" s="635"/>
      <c r="GJ62" s="635"/>
      <c r="GK62" s="635"/>
      <c r="GL62" s="635"/>
      <c r="GM62" s="635"/>
      <c r="GN62" s="635"/>
      <c r="GO62" s="635"/>
      <c r="GP62" s="635"/>
      <c r="GQ62" s="635"/>
      <c r="GR62" s="635"/>
      <c r="GS62" s="635"/>
      <c r="GT62" s="635"/>
      <c r="GU62" s="635"/>
      <c r="GV62" s="635"/>
      <c r="GW62" s="635"/>
      <c r="GX62" s="635"/>
      <c r="GY62" s="635"/>
      <c r="GZ62" s="635"/>
      <c r="HA62" s="635"/>
      <c r="HB62" s="635"/>
      <c r="HC62" s="635"/>
      <c r="HD62" s="635"/>
      <c r="HE62" s="635"/>
      <c r="HF62" s="635"/>
      <c r="HG62" s="635"/>
      <c r="HH62" s="635"/>
      <c r="HI62" s="635"/>
      <c r="HJ62" s="635"/>
      <c r="HK62" s="635"/>
      <c r="HL62" s="635"/>
      <c r="HM62" s="635"/>
      <c r="HN62" s="635"/>
      <c r="HO62" s="635"/>
      <c r="HP62" s="635"/>
      <c r="HQ62" s="635"/>
      <c r="HR62" s="635"/>
      <c r="HS62" s="635"/>
      <c r="HT62" s="635"/>
      <c r="HU62" s="635"/>
      <c r="HV62" s="635"/>
      <c r="HW62" s="635"/>
      <c r="HX62" s="635"/>
      <c r="HY62" s="635"/>
      <c r="HZ62" s="635"/>
      <c r="IA62" s="635"/>
      <c r="IB62" s="635"/>
      <c r="IC62" s="635"/>
      <c r="ID62" s="635"/>
      <c r="IE62" s="635"/>
      <c r="IF62" s="635"/>
      <c r="IG62" s="635"/>
      <c r="IH62" s="635"/>
      <c r="II62" s="635"/>
      <c r="IJ62" s="635"/>
      <c r="IK62" s="635"/>
      <c r="IL62" s="635"/>
      <c r="IM62" s="635"/>
      <c r="IN62" s="635"/>
      <c r="IO62" s="635"/>
      <c r="IP62" s="635"/>
      <c r="IQ62" s="635"/>
      <c r="IR62" s="635"/>
      <c r="IS62" s="635"/>
      <c r="IT62" s="635"/>
      <c r="IU62" s="635"/>
      <c r="IV62" s="635"/>
      <c r="IW62" s="635"/>
    </row>
    <row r="63" customFormat="false" ht="12.75" hidden="false" customHeight="false" outlineLevel="0" collapsed="false">
      <c r="A63" s="681" t="s">
        <v>630</v>
      </c>
      <c r="B63" s="682"/>
      <c r="C63" s="682"/>
      <c r="D63" s="682"/>
      <c r="E63" s="683" t="n">
        <v>1</v>
      </c>
      <c r="F63" s="683" t="n">
        <v>2</v>
      </c>
      <c r="G63" s="683" t="n">
        <v>3</v>
      </c>
      <c r="H63" s="683" t="n">
        <v>4</v>
      </c>
      <c r="I63" s="683" t="n">
        <v>5</v>
      </c>
      <c r="J63" s="683" t="n">
        <v>6</v>
      </c>
      <c r="K63" s="683" t="n">
        <v>7</v>
      </c>
      <c r="L63" s="683" t="n">
        <v>8</v>
      </c>
      <c r="M63" s="683" t="n">
        <v>9</v>
      </c>
      <c r="N63" s="683" t="n">
        <v>10</v>
      </c>
      <c r="O63" s="683" t="n">
        <v>11</v>
      </c>
      <c r="P63" s="683" t="n">
        <v>12</v>
      </c>
      <c r="Q63" s="683" t="n">
        <v>13</v>
      </c>
      <c r="R63" s="683" t="n">
        <v>14</v>
      </c>
      <c r="S63" s="683" t="n">
        <v>15</v>
      </c>
      <c r="T63" s="683" t="n">
        <v>16</v>
      </c>
      <c r="U63" s="683" t="n">
        <v>17</v>
      </c>
      <c r="V63" s="683" t="n">
        <v>18</v>
      </c>
      <c r="W63" s="683" t="n">
        <v>19</v>
      </c>
      <c r="X63" s="683" t="n">
        <v>20</v>
      </c>
      <c r="Y63" s="683" t="n">
        <v>21</v>
      </c>
      <c r="Z63" s="683" t="n">
        <v>22</v>
      </c>
      <c r="AA63" s="683" t="n">
        <v>23</v>
      </c>
      <c r="AB63" s="683" t="n">
        <v>24</v>
      </c>
      <c r="AC63" s="683" t="n">
        <v>25</v>
      </c>
      <c r="AD63" s="683" t="n">
        <v>26</v>
      </c>
      <c r="AE63" s="683" t="n">
        <v>27</v>
      </c>
      <c r="AF63" s="683" t="n">
        <v>28</v>
      </c>
      <c r="AG63" s="683" t="n">
        <v>29</v>
      </c>
      <c r="AH63" s="683" t="n">
        <v>30</v>
      </c>
      <c r="AI63" s="683" t="n">
        <v>31</v>
      </c>
      <c r="AJ63" s="683" t="n">
        <v>32</v>
      </c>
      <c r="AK63" s="683" t="n">
        <v>33</v>
      </c>
      <c r="AL63" s="683" t="n">
        <v>34</v>
      </c>
      <c r="AM63" s="683" t="n">
        <v>35</v>
      </c>
      <c r="AN63" s="683" t="n">
        <v>36</v>
      </c>
      <c r="AO63" s="682"/>
      <c r="AP63" s="684"/>
      <c r="AQ63" s="648" t="n">
        <f aca="false">AQ62+1</f>
        <v>57</v>
      </c>
      <c r="AR63" s="648" t="n">
        <f aca="false">AR62+1</f>
        <v>13</v>
      </c>
      <c r="AS63" s="635"/>
      <c r="AT63" s="719" t="s">
        <v>648</v>
      </c>
      <c r="AU63" s="39"/>
      <c r="AV63" s="39"/>
      <c r="AW63" s="39"/>
      <c r="AX63" s="174" t="n">
        <f aca="false">SUM(AY63:AZ63)</f>
        <v>159412.163</v>
      </c>
      <c r="AY63" s="98" t="n">
        <v>92999.028</v>
      </c>
      <c r="AZ63" s="708" t="n">
        <v>66413.135</v>
      </c>
      <c r="BA63" s="635"/>
      <c r="BB63" s="635"/>
      <c r="BC63" s="635"/>
      <c r="BD63" s="635"/>
      <c r="BE63" s="635"/>
      <c r="BF63" s="635"/>
      <c r="BG63" s="635"/>
      <c r="BH63" s="635"/>
      <c r="BI63" s="635"/>
      <c r="BJ63" s="635"/>
      <c r="BK63" s="635"/>
      <c r="BL63" s="635"/>
      <c r="BM63" s="635"/>
      <c r="BN63" s="635"/>
      <c r="BO63" s="635"/>
      <c r="BP63" s="635"/>
      <c r="BQ63" s="635"/>
      <c r="BR63" s="635"/>
      <c r="BS63" s="635"/>
      <c r="BT63" s="635"/>
      <c r="BU63" s="635"/>
      <c r="BV63" s="635"/>
      <c r="BW63" s="635"/>
      <c r="BX63" s="635"/>
      <c r="BY63" s="635"/>
      <c r="BZ63" s="635"/>
      <c r="CA63" s="635"/>
      <c r="CB63" s="635"/>
      <c r="CC63" s="635"/>
      <c r="CD63" s="635"/>
      <c r="CE63" s="635"/>
      <c r="CF63" s="635"/>
      <c r="CG63" s="635"/>
      <c r="CH63" s="635"/>
      <c r="CI63" s="635"/>
      <c r="CJ63" s="635"/>
      <c r="CK63" s="635"/>
      <c r="CL63" s="635"/>
      <c r="CM63" s="635"/>
      <c r="CN63" s="635"/>
      <c r="CO63" s="635"/>
      <c r="CP63" s="635"/>
      <c r="CQ63" s="635"/>
      <c r="CR63" s="635"/>
      <c r="CS63" s="635"/>
      <c r="CT63" s="635"/>
      <c r="CU63" s="635"/>
      <c r="CV63" s="635"/>
      <c r="CW63" s="635"/>
      <c r="CX63" s="635"/>
      <c r="CY63" s="635"/>
      <c r="CZ63" s="635"/>
      <c r="DA63" s="635"/>
      <c r="DB63" s="635"/>
      <c r="DC63" s="635"/>
      <c r="DD63" s="635"/>
      <c r="DE63" s="635"/>
      <c r="DF63" s="635"/>
      <c r="DG63" s="635"/>
      <c r="DH63" s="635"/>
      <c r="DI63" s="635"/>
      <c r="DJ63" s="635"/>
      <c r="DK63" s="635"/>
      <c r="DL63" s="635"/>
      <c r="DM63" s="635"/>
      <c r="DN63" s="635"/>
      <c r="DO63" s="635"/>
      <c r="DP63" s="635"/>
      <c r="DQ63" s="635"/>
      <c r="DR63" s="635"/>
      <c r="DS63" s="635"/>
      <c r="DT63" s="635"/>
      <c r="DU63" s="635"/>
      <c r="DV63" s="635"/>
      <c r="DW63" s="635"/>
      <c r="DX63" s="635"/>
      <c r="DY63" s="635"/>
      <c r="DZ63" s="635"/>
      <c r="EA63" s="635"/>
      <c r="EB63" s="635"/>
      <c r="EC63" s="635"/>
      <c r="ED63" s="635"/>
      <c r="EE63" s="635"/>
      <c r="EF63" s="635"/>
      <c r="EG63" s="635"/>
      <c r="EH63" s="635"/>
      <c r="EI63" s="635"/>
      <c r="EJ63" s="635"/>
      <c r="EK63" s="635"/>
      <c r="EL63" s="635"/>
      <c r="EM63" s="635"/>
      <c r="EN63" s="635"/>
      <c r="EO63" s="635"/>
      <c r="EP63" s="635"/>
      <c r="EQ63" s="635"/>
      <c r="ER63" s="635"/>
      <c r="ES63" s="635"/>
      <c r="ET63" s="635"/>
      <c r="EU63" s="635"/>
      <c r="EV63" s="635"/>
      <c r="EW63" s="635"/>
      <c r="EX63" s="635"/>
      <c r="EY63" s="635"/>
      <c r="EZ63" s="635"/>
      <c r="FA63" s="635"/>
      <c r="FB63" s="635"/>
      <c r="FC63" s="635"/>
      <c r="FD63" s="635"/>
      <c r="FE63" s="635"/>
      <c r="FF63" s="635"/>
      <c r="FG63" s="635"/>
      <c r="FH63" s="635"/>
      <c r="FI63" s="635"/>
      <c r="FJ63" s="635"/>
      <c r="FK63" s="635"/>
      <c r="FL63" s="635"/>
      <c r="FM63" s="635"/>
      <c r="FN63" s="635"/>
      <c r="FO63" s="635"/>
      <c r="FP63" s="635"/>
      <c r="FQ63" s="635"/>
      <c r="FR63" s="635"/>
      <c r="FS63" s="635"/>
      <c r="FT63" s="635"/>
      <c r="FU63" s="635"/>
      <c r="FV63" s="635"/>
      <c r="FW63" s="635"/>
      <c r="FX63" s="635"/>
      <c r="FY63" s="635"/>
      <c r="FZ63" s="635"/>
      <c r="GA63" s="635"/>
      <c r="GB63" s="635"/>
      <c r="GC63" s="635"/>
      <c r="GD63" s="635"/>
      <c r="GE63" s="635"/>
      <c r="GF63" s="635"/>
      <c r="GG63" s="635"/>
      <c r="GH63" s="635"/>
      <c r="GI63" s="635"/>
      <c r="GJ63" s="635"/>
      <c r="GK63" s="635"/>
      <c r="GL63" s="635"/>
      <c r="GM63" s="635"/>
      <c r="GN63" s="635"/>
      <c r="GO63" s="635"/>
      <c r="GP63" s="635"/>
      <c r="GQ63" s="635"/>
      <c r="GR63" s="635"/>
      <c r="GS63" s="635"/>
      <c r="GT63" s="635"/>
      <c r="GU63" s="635"/>
      <c r="GV63" s="635"/>
      <c r="GW63" s="635"/>
      <c r="GX63" s="635"/>
      <c r="GY63" s="635"/>
      <c r="GZ63" s="635"/>
      <c r="HA63" s="635"/>
      <c r="HB63" s="635"/>
      <c r="HC63" s="635"/>
      <c r="HD63" s="635"/>
      <c r="HE63" s="635"/>
      <c r="HF63" s="635"/>
      <c r="HG63" s="635"/>
      <c r="HH63" s="635"/>
      <c r="HI63" s="635"/>
      <c r="HJ63" s="635"/>
      <c r="HK63" s="635"/>
      <c r="HL63" s="635"/>
      <c r="HM63" s="635"/>
      <c r="HN63" s="635"/>
      <c r="HO63" s="635"/>
      <c r="HP63" s="635"/>
      <c r="HQ63" s="635"/>
      <c r="HR63" s="635"/>
      <c r="HS63" s="635"/>
      <c r="HT63" s="635"/>
      <c r="HU63" s="635"/>
      <c r="HV63" s="635"/>
      <c r="HW63" s="635"/>
      <c r="HX63" s="635"/>
      <c r="HY63" s="635"/>
      <c r="HZ63" s="635"/>
      <c r="IA63" s="635"/>
      <c r="IB63" s="635"/>
      <c r="IC63" s="635"/>
      <c r="ID63" s="635"/>
      <c r="IE63" s="635"/>
      <c r="IF63" s="635"/>
      <c r="IG63" s="635"/>
      <c r="IH63" s="635"/>
      <c r="II63" s="635"/>
      <c r="IJ63" s="635"/>
      <c r="IK63" s="635"/>
      <c r="IL63" s="635"/>
      <c r="IM63" s="635"/>
      <c r="IN63" s="635"/>
      <c r="IO63" s="635"/>
      <c r="IP63" s="635"/>
      <c r="IQ63" s="635"/>
      <c r="IR63" s="635"/>
      <c r="IS63" s="635"/>
      <c r="IT63" s="635"/>
      <c r="IU63" s="635"/>
      <c r="IV63" s="635"/>
      <c r="IW63" s="635"/>
    </row>
    <row r="64" customFormat="false" ht="12.75" hidden="false" customHeight="false" outlineLevel="0" collapsed="false">
      <c r="A64" s="685"/>
      <c r="B64" s="682" t="s">
        <v>631</v>
      </c>
      <c r="C64" s="682"/>
      <c r="D64" s="682"/>
      <c r="E64" s="720" t="n">
        <v>0</v>
      </c>
      <c r="F64" s="721" t="n">
        <v>0</v>
      </c>
      <c r="G64" s="721" t="n">
        <v>0</v>
      </c>
      <c r="H64" s="721" t="n">
        <v>0</v>
      </c>
      <c r="I64" s="721" t="n">
        <v>0</v>
      </c>
      <c r="J64" s="721" t="n">
        <v>0</v>
      </c>
      <c r="K64" s="721" t="n">
        <v>0</v>
      </c>
      <c r="L64" s="721" t="n">
        <v>0</v>
      </c>
      <c r="M64" s="721" t="n">
        <v>0</v>
      </c>
      <c r="N64" s="721" t="n">
        <v>0</v>
      </c>
      <c r="O64" s="721" t="n">
        <v>0</v>
      </c>
      <c r="P64" s="722" t="n">
        <f aca="false">-AZ59</f>
        <v>6594.47220912567</v>
      </c>
      <c r="Q64" s="723" t="n">
        <f aca="false">$AZ61</f>
        <v>3716.38075817487</v>
      </c>
      <c r="R64" s="723" t="n">
        <f aca="false">$AZ61</f>
        <v>3716.38075817487</v>
      </c>
      <c r="S64" s="723" t="n">
        <f aca="false">$AZ61</f>
        <v>3716.38075817487</v>
      </c>
      <c r="T64" s="723" t="n">
        <f aca="false">$AZ61</f>
        <v>3716.38075817487</v>
      </c>
      <c r="U64" s="723" t="n">
        <f aca="false">$AZ61</f>
        <v>3716.38075817487</v>
      </c>
      <c r="V64" s="722" t="n">
        <f aca="false">IF(V61&gt;$AV$66,0,$AZ$66)</f>
        <v>2425.69170588235</v>
      </c>
      <c r="W64" s="722" t="n">
        <f aca="false">IF(W61&gt;$AV$66,0,$AZ$66)</f>
        <v>2425.69170588235</v>
      </c>
      <c r="X64" s="722" t="n">
        <f aca="false">IF(X61&gt;$AV$66,0,$AZ$66)</f>
        <v>2425.69170588235</v>
      </c>
      <c r="Y64" s="722" t="n">
        <f aca="false">IF(Y61&gt;$AV$66,0,$AZ$66)</f>
        <v>2425.69170588235</v>
      </c>
      <c r="Z64" s="722" t="n">
        <f aca="false">IF(Z61&gt;$AV$66,0,$AZ$66)</f>
        <v>2425.69170588235</v>
      </c>
      <c r="AA64" s="722" t="n">
        <f aca="false">IF(AA61&gt;$AV$66,0,$AZ$66)</f>
        <v>2425.69170588235</v>
      </c>
      <c r="AB64" s="722" t="n">
        <f aca="false">IF(AB61&gt;$AV$66,0,$AZ$66)</f>
        <v>2425.69170588235</v>
      </c>
      <c r="AC64" s="722" t="n">
        <f aca="false">IF(AC61&gt;$AV$66,0,$AZ$66)</f>
        <v>2425.69170588235</v>
      </c>
      <c r="AD64" s="722" t="n">
        <f aca="false">IF(AD61&gt;$AV$66,0,$AZ$66)</f>
        <v>2425.69170588235</v>
      </c>
      <c r="AE64" s="722" t="n">
        <f aca="false">IF(AE61&gt;$AV$66,0,$AZ$66)</f>
        <v>2425.69170588235</v>
      </c>
      <c r="AF64" s="722" t="n">
        <f aca="false">IF(AF61&gt;$AV$66,0,$AZ$66)</f>
        <v>2425.69170588235</v>
      </c>
      <c r="AG64" s="722" t="n">
        <f aca="false">IF(AG61&gt;$AV$66,0,$AZ$66)</f>
        <v>2425.69170588235</v>
      </c>
      <c r="AH64" s="722" t="n">
        <f aca="false">IF(AH61&gt;$AV$66,0,$AZ$66)</f>
        <v>2425.69170588235</v>
      </c>
      <c r="AI64" s="722" t="n">
        <f aca="false">IF(AI61&gt;$AV$66,0,$AZ$66)</f>
        <v>2425.69170588235</v>
      </c>
      <c r="AJ64" s="722" t="n">
        <f aca="false">IF(AJ61&gt;$AV$66,0,$AZ$66)</f>
        <v>2425.69170588235</v>
      </c>
      <c r="AK64" s="722" t="n">
        <f aca="false">IF(AK61&gt;$AV$66,0,$AZ$66)</f>
        <v>2425.69170588235</v>
      </c>
      <c r="AL64" s="722" t="n">
        <f aca="false">IF(AL61&gt;$AV$66,0,$AZ$66)</f>
        <v>2425.69170588235</v>
      </c>
      <c r="AM64" s="722" t="n">
        <f aca="false">IF(AM61&gt;$AV$66,0,$AZ$66)</f>
        <v>0</v>
      </c>
      <c r="AN64" s="724" t="n">
        <f aca="false">IF(AN61&gt;$AV$66,0,$AZ$66)</f>
        <v>0</v>
      </c>
      <c r="AO64" s="689"/>
      <c r="AP64" s="690" t="n">
        <f aca="false">SUM(E64:AO64)</f>
        <v>66413.135</v>
      </c>
      <c r="AQ64" s="648" t="n">
        <f aca="false">AQ63+1</f>
        <v>58</v>
      </c>
      <c r="AR64" s="648" t="n">
        <f aca="false">AR63+1</f>
        <v>14</v>
      </c>
      <c r="AS64" s="635"/>
      <c r="AT64" s="719" t="s">
        <v>649</v>
      </c>
      <c r="AU64" s="39"/>
      <c r="AV64" s="39"/>
      <c r="AW64" s="39"/>
      <c r="AX64" s="306" t="n">
        <f aca="false">-AX58</f>
        <v>-57267</v>
      </c>
      <c r="AY64" s="306" t="n">
        <f aca="false">-AY58</f>
        <v>-32090.624</v>
      </c>
      <c r="AZ64" s="725" t="n">
        <f aca="false">-AZ58</f>
        <v>-25176.376</v>
      </c>
      <c r="BA64" s="635"/>
      <c r="BB64" s="635"/>
      <c r="BC64" s="635"/>
      <c r="BD64" s="635"/>
      <c r="BE64" s="635"/>
      <c r="BF64" s="635"/>
      <c r="BG64" s="635"/>
      <c r="BH64" s="635"/>
      <c r="BI64" s="635"/>
      <c r="BJ64" s="635"/>
      <c r="BK64" s="635"/>
      <c r="BL64" s="635"/>
      <c r="BM64" s="635"/>
      <c r="BN64" s="635"/>
      <c r="BO64" s="635"/>
      <c r="BP64" s="635"/>
      <c r="BQ64" s="635"/>
      <c r="BR64" s="635"/>
      <c r="BS64" s="635"/>
      <c r="BT64" s="635"/>
      <c r="BU64" s="635"/>
      <c r="BV64" s="635"/>
      <c r="BW64" s="635"/>
      <c r="BX64" s="635"/>
      <c r="BY64" s="635"/>
      <c r="BZ64" s="635"/>
      <c r="CA64" s="635"/>
      <c r="CB64" s="635"/>
      <c r="CC64" s="635"/>
      <c r="CD64" s="635"/>
      <c r="CE64" s="635"/>
      <c r="CF64" s="635"/>
      <c r="CG64" s="635"/>
      <c r="CH64" s="635"/>
      <c r="CI64" s="635"/>
      <c r="CJ64" s="635"/>
      <c r="CK64" s="635"/>
      <c r="CL64" s="635"/>
      <c r="CM64" s="635"/>
      <c r="CN64" s="635"/>
      <c r="CO64" s="635"/>
      <c r="CP64" s="635"/>
      <c r="CQ64" s="635"/>
      <c r="CR64" s="635"/>
      <c r="CS64" s="635"/>
      <c r="CT64" s="635"/>
      <c r="CU64" s="635"/>
      <c r="CV64" s="635"/>
      <c r="CW64" s="635"/>
      <c r="CX64" s="635"/>
      <c r="CY64" s="635"/>
      <c r="CZ64" s="635"/>
      <c r="DA64" s="635"/>
      <c r="DB64" s="635"/>
      <c r="DC64" s="635"/>
      <c r="DD64" s="635"/>
      <c r="DE64" s="635"/>
      <c r="DF64" s="635"/>
      <c r="DG64" s="635"/>
      <c r="DH64" s="635"/>
      <c r="DI64" s="635"/>
      <c r="DJ64" s="635"/>
      <c r="DK64" s="635"/>
      <c r="DL64" s="635"/>
      <c r="DM64" s="635"/>
      <c r="DN64" s="635"/>
      <c r="DO64" s="635"/>
      <c r="DP64" s="635"/>
      <c r="DQ64" s="635"/>
      <c r="DR64" s="635"/>
      <c r="DS64" s="635"/>
      <c r="DT64" s="635"/>
      <c r="DU64" s="635"/>
      <c r="DV64" s="635"/>
      <c r="DW64" s="635"/>
      <c r="DX64" s="635"/>
      <c r="DY64" s="635"/>
      <c r="DZ64" s="635"/>
      <c r="EA64" s="635"/>
      <c r="EB64" s="635"/>
      <c r="EC64" s="635"/>
      <c r="ED64" s="635"/>
      <c r="EE64" s="635"/>
      <c r="EF64" s="635"/>
      <c r="EG64" s="635"/>
      <c r="EH64" s="635"/>
      <c r="EI64" s="635"/>
      <c r="EJ64" s="635"/>
      <c r="EK64" s="635"/>
      <c r="EL64" s="635"/>
      <c r="EM64" s="635"/>
      <c r="EN64" s="635"/>
      <c r="EO64" s="635"/>
      <c r="EP64" s="635"/>
      <c r="EQ64" s="635"/>
      <c r="ER64" s="635"/>
      <c r="ES64" s="635"/>
      <c r="ET64" s="635"/>
      <c r="EU64" s="635"/>
      <c r="EV64" s="635"/>
      <c r="EW64" s="635"/>
      <c r="EX64" s="635"/>
      <c r="EY64" s="635"/>
      <c r="EZ64" s="635"/>
      <c r="FA64" s="635"/>
      <c r="FB64" s="635"/>
      <c r="FC64" s="635"/>
      <c r="FD64" s="635"/>
      <c r="FE64" s="635"/>
      <c r="FF64" s="635"/>
      <c r="FG64" s="635"/>
      <c r="FH64" s="635"/>
      <c r="FI64" s="635"/>
      <c r="FJ64" s="635"/>
      <c r="FK64" s="635"/>
      <c r="FL64" s="635"/>
      <c r="FM64" s="635"/>
      <c r="FN64" s="635"/>
      <c r="FO64" s="635"/>
      <c r="FP64" s="635"/>
      <c r="FQ64" s="635"/>
      <c r="FR64" s="635"/>
      <c r="FS64" s="635"/>
      <c r="FT64" s="635"/>
      <c r="FU64" s="635"/>
      <c r="FV64" s="635"/>
      <c r="FW64" s="635"/>
      <c r="FX64" s="635"/>
      <c r="FY64" s="635"/>
      <c r="FZ64" s="635"/>
      <c r="GA64" s="635"/>
      <c r="GB64" s="635"/>
      <c r="GC64" s="635"/>
      <c r="GD64" s="635"/>
      <c r="GE64" s="635"/>
      <c r="GF64" s="635"/>
      <c r="GG64" s="635"/>
      <c r="GH64" s="635"/>
      <c r="GI64" s="635"/>
      <c r="GJ64" s="635"/>
      <c r="GK64" s="635"/>
      <c r="GL64" s="635"/>
      <c r="GM64" s="635"/>
      <c r="GN64" s="635"/>
      <c r="GO64" s="635"/>
      <c r="GP64" s="635"/>
      <c r="GQ64" s="635"/>
      <c r="GR64" s="635"/>
      <c r="GS64" s="635"/>
      <c r="GT64" s="635"/>
      <c r="GU64" s="635"/>
      <c r="GV64" s="635"/>
      <c r="GW64" s="635"/>
      <c r="GX64" s="635"/>
      <c r="GY64" s="635"/>
      <c r="GZ64" s="635"/>
      <c r="HA64" s="635"/>
      <c r="HB64" s="635"/>
      <c r="HC64" s="635"/>
      <c r="HD64" s="635"/>
      <c r="HE64" s="635"/>
      <c r="HF64" s="635"/>
      <c r="HG64" s="635"/>
      <c r="HH64" s="635"/>
      <c r="HI64" s="635"/>
      <c r="HJ64" s="635"/>
      <c r="HK64" s="635"/>
      <c r="HL64" s="635"/>
      <c r="HM64" s="635"/>
      <c r="HN64" s="635"/>
      <c r="HO64" s="635"/>
      <c r="HP64" s="635"/>
      <c r="HQ64" s="635"/>
      <c r="HR64" s="635"/>
      <c r="HS64" s="635"/>
      <c r="HT64" s="635"/>
      <c r="HU64" s="635"/>
      <c r="HV64" s="635"/>
      <c r="HW64" s="635"/>
      <c r="HX64" s="635"/>
      <c r="HY64" s="635"/>
      <c r="HZ64" s="635"/>
      <c r="IA64" s="635"/>
      <c r="IB64" s="635"/>
      <c r="IC64" s="635"/>
      <c r="ID64" s="635"/>
      <c r="IE64" s="635"/>
      <c r="IF64" s="635"/>
      <c r="IG64" s="635"/>
      <c r="IH64" s="635"/>
      <c r="II64" s="635"/>
      <c r="IJ64" s="635"/>
      <c r="IK64" s="635"/>
      <c r="IL64" s="635"/>
      <c r="IM64" s="635"/>
      <c r="IN64" s="635"/>
      <c r="IO64" s="635"/>
      <c r="IP64" s="635"/>
      <c r="IQ64" s="635"/>
      <c r="IR64" s="635"/>
      <c r="IS64" s="635"/>
      <c r="IT64" s="635"/>
      <c r="IU64" s="635"/>
      <c r="IV64" s="635"/>
      <c r="IW64" s="635"/>
    </row>
    <row r="65" customFormat="false" ht="12.75" hidden="false" customHeight="false" outlineLevel="0" collapsed="false">
      <c r="A65" s="685"/>
      <c r="B65" s="682" t="s">
        <v>632</v>
      </c>
      <c r="C65" s="682"/>
      <c r="D65" s="682"/>
      <c r="E65" s="689" t="n">
        <f aca="false">SUM($E64:E64)</f>
        <v>0</v>
      </c>
      <c r="F65" s="689" t="n">
        <f aca="false">SUM($E64:F64)</f>
        <v>0</v>
      </c>
      <c r="G65" s="689" t="n">
        <f aca="false">SUM($E64:G64)</f>
        <v>0</v>
      </c>
      <c r="H65" s="689" t="n">
        <f aca="false">SUM($E64:H64)</f>
        <v>0</v>
      </c>
      <c r="I65" s="689" t="n">
        <f aca="false">SUM($E64:I64)</f>
        <v>0</v>
      </c>
      <c r="J65" s="689" t="n">
        <f aca="false">SUM($E64:J64)</f>
        <v>0</v>
      </c>
      <c r="K65" s="689" t="n">
        <f aca="false">SUM($E64:K64)</f>
        <v>0</v>
      </c>
      <c r="L65" s="689" t="n">
        <f aca="false">SUM($E64:L64)</f>
        <v>0</v>
      </c>
      <c r="M65" s="689" t="n">
        <f aca="false">SUM($E64:M64)</f>
        <v>0</v>
      </c>
      <c r="N65" s="689" t="n">
        <f aca="false">SUM($E64:N64)</f>
        <v>0</v>
      </c>
      <c r="O65" s="689" t="n">
        <f aca="false">SUM($E64:O64)</f>
        <v>0</v>
      </c>
      <c r="P65" s="689" t="n">
        <f aca="false">SUM($E64:P64)</f>
        <v>6594.47220912567</v>
      </c>
      <c r="Q65" s="689" t="n">
        <f aca="false">SUM($E64:Q64)</f>
        <v>10310.8529673005</v>
      </c>
      <c r="R65" s="689" t="n">
        <f aca="false">SUM($E64:R64)</f>
        <v>14027.2337254754</v>
      </c>
      <c r="S65" s="689" t="n">
        <f aca="false">SUM($E64:S64)</f>
        <v>17743.6144836503</v>
      </c>
      <c r="T65" s="689" t="n">
        <f aca="false">SUM($E64:T64)</f>
        <v>21459.9952418251</v>
      </c>
      <c r="U65" s="689" t="n">
        <f aca="false">SUM($E64:U64)</f>
        <v>25176.376</v>
      </c>
      <c r="V65" s="689" t="n">
        <f aca="false">SUM($E64:V64)</f>
        <v>27602.0677058824</v>
      </c>
      <c r="W65" s="689" t="n">
        <f aca="false">SUM($E64:W64)</f>
        <v>30027.7594117647</v>
      </c>
      <c r="X65" s="689" t="n">
        <f aca="false">SUM($E64:X64)</f>
        <v>32453.4511176471</v>
      </c>
      <c r="Y65" s="689" t="n">
        <f aca="false">SUM($E64:Y64)</f>
        <v>34879.1428235294</v>
      </c>
      <c r="Z65" s="689" t="n">
        <f aca="false">SUM($E64:Z64)</f>
        <v>37304.8345294118</v>
      </c>
      <c r="AA65" s="689" t="n">
        <f aca="false">SUM($E64:AA64)</f>
        <v>39730.5262352941</v>
      </c>
      <c r="AB65" s="689" t="n">
        <f aca="false">SUM($E64:AB64)</f>
        <v>42156.2179411765</v>
      </c>
      <c r="AC65" s="689" t="n">
        <f aca="false">SUM($E64:AC64)</f>
        <v>44581.9096470588</v>
      </c>
      <c r="AD65" s="689" t="n">
        <f aca="false">SUM($E64:AD64)</f>
        <v>47007.6013529412</v>
      </c>
      <c r="AE65" s="689" t="n">
        <f aca="false">SUM($E64:AE64)</f>
        <v>49433.2930588235</v>
      </c>
      <c r="AF65" s="689" t="n">
        <f aca="false">SUM($E64:AF64)</f>
        <v>51858.9847647059</v>
      </c>
      <c r="AG65" s="689" t="n">
        <f aca="false">SUM($E64:AG64)</f>
        <v>54284.6764705882</v>
      </c>
      <c r="AH65" s="689" t="n">
        <f aca="false">SUM($E64:AH64)</f>
        <v>56710.3681764706</v>
      </c>
      <c r="AI65" s="689" t="n">
        <f aca="false">SUM($E64:AI64)</f>
        <v>59136.0598823529</v>
      </c>
      <c r="AJ65" s="689" t="n">
        <f aca="false">SUM($E64:AJ64)</f>
        <v>61561.7515882353</v>
      </c>
      <c r="AK65" s="689" t="n">
        <f aca="false">SUM($E64:AK64)</f>
        <v>63987.4432941176</v>
      </c>
      <c r="AL65" s="689" t="n">
        <f aca="false">SUM($E64:AL64)</f>
        <v>66413.135</v>
      </c>
      <c r="AM65" s="689" t="n">
        <f aca="false">SUM($E64:AM64)</f>
        <v>66413.135</v>
      </c>
      <c r="AN65" s="689" t="n">
        <f aca="false">SUM($E64:AN64)</f>
        <v>66413.135</v>
      </c>
      <c r="AO65" s="689"/>
      <c r="AP65" s="690"/>
      <c r="AQ65" s="648" t="n">
        <f aca="false">AQ64+1</f>
        <v>59</v>
      </c>
      <c r="AR65" s="648" t="n">
        <f aca="false">AR64+1</f>
        <v>15</v>
      </c>
      <c r="AS65" s="635"/>
      <c r="AT65" s="719" t="s">
        <v>650</v>
      </c>
      <c r="AU65" s="39"/>
      <c r="AV65" s="39"/>
      <c r="AW65" s="39"/>
      <c r="AX65" s="174" t="n">
        <f aca="false">SUM(AX63:AX64)</f>
        <v>102145.163</v>
      </c>
      <c r="AY65" s="174" t="n">
        <f aca="false">SUM(AY63:AY64)</f>
        <v>60908.404</v>
      </c>
      <c r="AZ65" s="714" t="n">
        <f aca="false">SUM(AZ63:AZ64)</f>
        <v>41236.759</v>
      </c>
      <c r="BA65" s="635"/>
      <c r="BB65" s="635"/>
      <c r="BC65" s="635"/>
      <c r="BD65" s="635"/>
      <c r="BE65" s="635"/>
      <c r="BF65" s="635"/>
      <c r="BG65" s="635"/>
      <c r="BH65" s="635"/>
      <c r="BI65" s="635"/>
      <c r="BJ65" s="635"/>
      <c r="BK65" s="635"/>
      <c r="BL65" s="635"/>
      <c r="BM65" s="635"/>
      <c r="BN65" s="635"/>
      <c r="BO65" s="635"/>
      <c r="BP65" s="635"/>
      <c r="BQ65" s="635"/>
      <c r="BR65" s="635"/>
      <c r="BS65" s="635"/>
      <c r="BT65" s="635"/>
      <c r="BU65" s="635"/>
      <c r="BV65" s="635"/>
      <c r="BW65" s="635"/>
      <c r="BX65" s="635"/>
      <c r="BY65" s="635"/>
      <c r="BZ65" s="635"/>
      <c r="CA65" s="635"/>
      <c r="CB65" s="635"/>
      <c r="CC65" s="635"/>
      <c r="CD65" s="635"/>
      <c r="CE65" s="635"/>
      <c r="CF65" s="635"/>
      <c r="CG65" s="635"/>
      <c r="CH65" s="635"/>
      <c r="CI65" s="635"/>
      <c r="CJ65" s="635"/>
      <c r="CK65" s="635"/>
      <c r="CL65" s="635"/>
      <c r="CM65" s="635"/>
      <c r="CN65" s="635"/>
      <c r="CO65" s="635"/>
      <c r="CP65" s="635"/>
      <c r="CQ65" s="635"/>
      <c r="CR65" s="635"/>
      <c r="CS65" s="635"/>
      <c r="CT65" s="635"/>
      <c r="CU65" s="635"/>
      <c r="CV65" s="635"/>
      <c r="CW65" s="635"/>
      <c r="CX65" s="635"/>
      <c r="CY65" s="635"/>
      <c r="CZ65" s="635"/>
      <c r="DA65" s="635"/>
      <c r="DB65" s="635"/>
      <c r="DC65" s="635"/>
      <c r="DD65" s="635"/>
      <c r="DE65" s="635"/>
      <c r="DF65" s="635"/>
      <c r="DG65" s="635"/>
      <c r="DH65" s="635"/>
      <c r="DI65" s="635"/>
      <c r="DJ65" s="635"/>
      <c r="DK65" s="635"/>
      <c r="DL65" s="635"/>
      <c r="DM65" s="635"/>
      <c r="DN65" s="635"/>
      <c r="DO65" s="635"/>
      <c r="DP65" s="635"/>
      <c r="DQ65" s="635"/>
      <c r="DR65" s="635"/>
      <c r="DS65" s="635"/>
      <c r="DT65" s="635"/>
      <c r="DU65" s="635"/>
      <c r="DV65" s="635"/>
      <c r="DW65" s="635"/>
      <c r="DX65" s="635"/>
      <c r="DY65" s="635"/>
      <c r="DZ65" s="635"/>
      <c r="EA65" s="635"/>
      <c r="EB65" s="635"/>
      <c r="EC65" s="635"/>
      <c r="ED65" s="635"/>
      <c r="EE65" s="635"/>
      <c r="EF65" s="635"/>
      <c r="EG65" s="635"/>
      <c r="EH65" s="635"/>
      <c r="EI65" s="635"/>
      <c r="EJ65" s="635"/>
      <c r="EK65" s="635"/>
      <c r="EL65" s="635"/>
      <c r="EM65" s="635"/>
      <c r="EN65" s="635"/>
      <c r="EO65" s="635"/>
      <c r="EP65" s="635"/>
      <c r="EQ65" s="635"/>
      <c r="ER65" s="635"/>
      <c r="ES65" s="635"/>
      <c r="ET65" s="635"/>
      <c r="EU65" s="635"/>
      <c r="EV65" s="635"/>
      <c r="EW65" s="635"/>
      <c r="EX65" s="635"/>
      <c r="EY65" s="635"/>
      <c r="EZ65" s="635"/>
      <c r="FA65" s="635"/>
      <c r="FB65" s="635"/>
      <c r="FC65" s="635"/>
      <c r="FD65" s="635"/>
      <c r="FE65" s="635"/>
      <c r="FF65" s="635"/>
      <c r="FG65" s="635"/>
      <c r="FH65" s="635"/>
      <c r="FI65" s="635"/>
      <c r="FJ65" s="635"/>
      <c r="FK65" s="635"/>
      <c r="FL65" s="635"/>
      <c r="FM65" s="635"/>
      <c r="FN65" s="635"/>
      <c r="FO65" s="635"/>
      <c r="FP65" s="635"/>
      <c r="FQ65" s="635"/>
      <c r="FR65" s="635"/>
      <c r="FS65" s="635"/>
      <c r="FT65" s="635"/>
      <c r="FU65" s="635"/>
      <c r="FV65" s="635"/>
      <c r="FW65" s="635"/>
      <c r="FX65" s="635"/>
      <c r="FY65" s="635"/>
      <c r="FZ65" s="635"/>
      <c r="GA65" s="635"/>
      <c r="GB65" s="635"/>
      <c r="GC65" s="635"/>
      <c r="GD65" s="635"/>
      <c r="GE65" s="635"/>
      <c r="GF65" s="635"/>
      <c r="GG65" s="635"/>
      <c r="GH65" s="635"/>
      <c r="GI65" s="635"/>
      <c r="GJ65" s="635"/>
      <c r="GK65" s="635"/>
      <c r="GL65" s="635"/>
      <c r="GM65" s="635"/>
      <c r="GN65" s="635"/>
      <c r="GO65" s="635"/>
      <c r="GP65" s="635"/>
      <c r="GQ65" s="635"/>
      <c r="GR65" s="635"/>
      <c r="GS65" s="635"/>
      <c r="GT65" s="635"/>
      <c r="GU65" s="635"/>
      <c r="GV65" s="635"/>
      <c r="GW65" s="635"/>
      <c r="GX65" s="635"/>
      <c r="GY65" s="635"/>
      <c r="GZ65" s="635"/>
      <c r="HA65" s="635"/>
      <c r="HB65" s="635"/>
      <c r="HC65" s="635"/>
      <c r="HD65" s="635"/>
      <c r="HE65" s="635"/>
      <c r="HF65" s="635"/>
      <c r="HG65" s="635"/>
      <c r="HH65" s="635"/>
      <c r="HI65" s="635"/>
      <c r="HJ65" s="635"/>
      <c r="HK65" s="635"/>
      <c r="HL65" s="635"/>
      <c r="HM65" s="635"/>
      <c r="HN65" s="635"/>
      <c r="HO65" s="635"/>
      <c r="HP65" s="635"/>
      <c r="HQ65" s="635"/>
      <c r="HR65" s="635"/>
      <c r="HS65" s="635"/>
      <c r="HT65" s="635"/>
      <c r="HU65" s="635"/>
      <c r="HV65" s="635"/>
      <c r="HW65" s="635"/>
      <c r="HX65" s="635"/>
      <c r="HY65" s="635"/>
      <c r="HZ65" s="635"/>
      <c r="IA65" s="635"/>
      <c r="IB65" s="635"/>
      <c r="IC65" s="635"/>
      <c r="ID65" s="635"/>
      <c r="IE65" s="635"/>
      <c r="IF65" s="635"/>
      <c r="IG65" s="635"/>
      <c r="IH65" s="635"/>
      <c r="II65" s="635"/>
      <c r="IJ65" s="635"/>
      <c r="IK65" s="635"/>
      <c r="IL65" s="635"/>
      <c r="IM65" s="635"/>
      <c r="IN65" s="635"/>
      <c r="IO65" s="635"/>
      <c r="IP65" s="635"/>
      <c r="IQ65" s="635"/>
      <c r="IR65" s="635"/>
      <c r="IS65" s="635"/>
      <c r="IT65" s="635"/>
      <c r="IU65" s="635"/>
      <c r="IV65" s="635"/>
      <c r="IW65" s="635"/>
    </row>
    <row r="66" customFormat="false" ht="12.75" hidden="false" customHeight="false" outlineLevel="0" collapsed="false">
      <c r="A66" s="685"/>
      <c r="B66" s="682"/>
      <c r="C66" s="682"/>
      <c r="D66" s="682"/>
      <c r="E66" s="682"/>
      <c r="F66" s="682"/>
      <c r="G66" s="682"/>
      <c r="H66" s="682"/>
      <c r="I66" s="682"/>
      <c r="J66" s="682"/>
      <c r="K66" s="682"/>
      <c r="L66" s="682"/>
      <c r="M66" s="682"/>
      <c r="N66" s="682"/>
      <c r="O66" s="682"/>
      <c r="P66" s="682"/>
      <c r="Q66" s="682"/>
      <c r="R66" s="682"/>
      <c r="S66" s="682"/>
      <c r="T66" s="682"/>
      <c r="U66" s="682"/>
      <c r="V66" s="682"/>
      <c r="W66" s="682"/>
      <c r="X66" s="682"/>
      <c r="Y66" s="682"/>
      <c r="Z66" s="682"/>
      <c r="AA66" s="682"/>
      <c r="AB66" s="682"/>
      <c r="AC66" s="682"/>
      <c r="AD66" s="682"/>
      <c r="AE66" s="682"/>
      <c r="AF66" s="682"/>
      <c r="AG66" s="682"/>
      <c r="AH66" s="682"/>
      <c r="AI66" s="682"/>
      <c r="AJ66" s="682"/>
      <c r="AK66" s="682"/>
      <c r="AL66" s="682"/>
      <c r="AM66" s="682"/>
      <c r="AN66" s="682"/>
      <c r="AO66" s="682"/>
      <c r="AP66" s="684"/>
      <c r="AQ66" s="648" t="n">
        <f aca="false">AQ65+1</f>
        <v>60</v>
      </c>
      <c r="AR66" s="648" t="n">
        <f aca="false">AR65+1</f>
        <v>16</v>
      </c>
      <c r="AS66" s="635"/>
      <c r="AT66" s="719" t="s">
        <v>645</v>
      </c>
      <c r="AU66" s="39"/>
      <c r="AV66" s="717" t="n">
        <f aca="false">AW69</f>
        <v>17</v>
      </c>
      <c r="AW66" s="84" t="s">
        <v>646</v>
      </c>
      <c r="AX66" s="174" t="n">
        <f aca="false">AX65/$AV66</f>
        <v>6008.539</v>
      </c>
      <c r="AY66" s="174" t="n">
        <f aca="false">AY65/$AV66</f>
        <v>3582.84729411765</v>
      </c>
      <c r="AZ66" s="714" t="n">
        <f aca="false">AZ65/$AV66</f>
        <v>2425.69170588235</v>
      </c>
      <c r="BA66" s="635"/>
      <c r="BB66" s="635"/>
      <c r="BC66" s="635"/>
      <c r="BD66" s="635"/>
      <c r="BE66" s="635"/>
      <c r="BF66" s="635"/>
      <c r="BG66" s="635"/>
      <c r="BH66" s="635"/>
      <c r="BI66" s="635"/>
      <c r="BJ66" s="635"/>
      <c r="BK66" s="635"/>
      <c r="BL66" s="635"/>
      <c r="BM66" s="635"/>
      <c r="BN66" s="635"/>
      <c r="BO66" s="635"/>
      <c r="BP66" s="635"/>
      <c r="BQ66" s="635"/>
      <c r="BR66" s="635"/>
      <c r="BS66" s="635"/>
      <c r="BT66" s="635"/>
      <c r="BU66" s="635"/>
      <c r="BV66" s="635"/>
      <c r="BW66" s="635"/>
      <c r="BX66" s="635"/>
      <c r="BY66" s="635"/>
      <c r="BZ66" s="635"/>
      <c r="CA66" s="635"/>
      <c r="CB66" s="635"/>
      <c r="CC66" s="635"/>
      <c r="CD66" s="635"/>
      <c r="CE66" s="635"/>
      <c r="CF66" s="635"/>
      <c r="CG66" s="635"/>
      <c r="CH66" s="635"/>
      <c r="CI66" s="635"/>
      <c r="CJ66" s="635"/>
      <c r="CK66" s="635"/>
      <c r="CL66" s="635"/>
      <c r="CM66" s="635"/>
      <c r="CN66" s="635"/>
      <c r="CO66" s="635"/>
      <c r="CP66" s="635"/>
      <c r="CQ66" s="635"/>
      <c r="CR66" s="635"/>
      <c r="CS66" s="635"/>
      <c r="CT66" s="635"/>
      <c r="CU66" s="635"/>
      <c r="CV66" s="635"/>
      <c r="CW66" s="635"/>
      <c r="CX66" s="635"/>
      <c r="CY66" s="635"/>
      <c r="CZ66" s="635"/>
      <c r="DA66" s="635"/>
      <c r="DB66" s="635"/>
      <c r="DC66" s="635"/>
      <c r="DD66" s="635"/>
      <c r="DE66" s="635"/>
      <c r="DF66" s="635"/>
      <c r="DG66" s="635"/>
      <c r="DH66" s="635"/>
      <c r="DI66" s="635"/>
      <c r="DJ66" s="635"/>
      <c r="DK66" s="635"/>
      <c r="DL66" s="635"/>
      <c r="DM66" s="635"/>
      <c r="DN66" s="635"/>
      <c r="DO66" s="635"/>
      <c r="DP66" s="635"/>
      <c r="DQ66" s="635"/>
      <c r="DR66" s="635"/>
      <c r="DS66" s="635"/>
      <c r="DT66" s="635"/>
      <c r="DU66" s="635"/>
      <c r="DV66" s="635"/>
      <c r="DW66" s="635"/>
      <c r="DX66" s="635"/>
      <c r="DY66" s="635"/>
      <c r="DZ66" s="635"/>
      <c r="EA66" s="635"/>
      <c r="EB66" s="635"/>
      <c r="EC66" s="635"/>
      <c r="ED66" s="635"/>
      <c r="EE66" s="635"/>
      <c r="EF66" s="635"/>
      <c r="EG66" s="635"/>
      <c r="EH66" s="635"/>
      <c r="EI66" s="635"/>
      <c r="EJ66" s="635"/>
      <c r="EK66" s="635"/>
      <c r="EL66" s="635"/>
      <c r="EM66" s="635"/>
      <c r="EN66" s="635"/>
      <c r="EO66" s="635"/>
      <c r="EP66" s="635"/>
      <c r="EQ66" s="635"/>
      <c r="ER66" s="635"/>
      <c r="ES66" s="635"/>
      <c r="ET66" s="635"/>
      <c r="EU66" s="635"/>
      <c r="EV66" s="635"/>
      <c r="EW66" s="635"/>
      <c r="EX66" s="635"/>
      <c r="EY66" s="635"/>
      <c r="EZ66" s="635"/>
      <c r="FA66" s="635"/>
      <c r="FB66" s="635"/>
      <c r="FC66" s="635"/>
      <c r="FD66" s="635"/>
      <c r="FE66" s="635"/>
      <c r="FF66" s="635"/>
      <c r="FG66" s="635"/>
      <c r="FH66" s="635"/>
      <c r="FI66" s="635"/>
      <c r="FJ66" s="635"/>
      <c r="FK66" s="635"/>
      <c r="FL66" s="635"/>
      <c r="FM66" s="635"/>
      <c r="FN66" s="635"/>
      <c r="FO66" s="635"/>
      <c r="FP66" s="635"/>
      <c r="FQ66" s="635"/>
      <c r="FR66" s="635"/>
      <c r="FS66" s="635"/>
      <c r="FT66" s="635"/>
      <c r="FU66" s="635"/>
      <c r="FV66" s="635"/>
      <c r="FW66" s="635"/>
      <c r="FX66" s="635"/>
      <c r="FY66" s="635"/>
      <c r="FZ66" s="635"/>
      <c r="GA66" s="635"/>
      <c r="GB66" s="635"/>
      <c r="GC66" s="635"/>
      <c r="GD66" s="635"/>
      <c r="GE66" s="635"/>
      <c r="GF66" s="635"/>
      <c r="GG66" s="635"/>
      <c r="GH66" s="635"/>
      <c r="GI66" s="635"/>
      <c r="GJ66" s="635"/>
      <c r="GK66" s="635"/>
      <c r="GL66" s="635"/>
      <c r="GM66" s="635"/>
      <c r="GN66" s="635"/>
      <c r="GO66" s="635"/>
      <c r="GP66" s="635"/>
      <c r="GQ66" s="635"/>
      <c r="GR66" s="635"/>
      <c r="GS66" s="635"/>
      <c r="GT66" s="635"/>
      <c r="GU66" s="635"/>
      <c r="GV66" s="635"/>
      <c r="GW66" s="635"/>
      <c r="GX66" s="635"/>
      <c r="GY66" s="635"/>
      <c r="GZ66" s="635"/>
      <c r="HA66" s="635"/>
      <c r="HB66" s="635"/>
      <c r="HC66" s="635"/>
      <c r="HD66" s="635"/>
      <c r="HE66" s="635"/>
      <c r="HF66" s="635"/>
      <c r="HG66" s="635"/>
      <c r="HH66" s="635"/>
      <c r="HI66" s="635"/>
      <c r="HJ66" s="635"/>
      <c r="HK66" s="635"/>
      <c r="HL66" s="635"/>
      <c r="HM66" s="635"/>
      <c r="HN66" s="635"/>
      <c r="HO66" s="635"/>
      <c r="HP66" s="635"/>
      <c r="HQ66" s="635"/>
      <c r="HR66" s="635"/>
      <c r="HS66" s="635"/>
      <c r="HT66" s="635"/>
      <c r="HU66" s="635"/>
      <c r="HV66" s="635"/>
      <c r="HW66" s="635"/>
      <c r="HX66" s="635"/>
      <c r="HY66" s="635"/>
      <c r="HZ66" s="635"/>
      <c r="IA66" s="635"/>
      <c r="IB66" s="635"/>
      <c r="IC66" s="635"/>
      <c r="ID66" s="635"/>
      <c r="IE66" s="635"/>
      <c r="IF66" s="635"/>
      <c r="IG66" s="635"/>
      <c r="IH66" s="635"/>
      <c r="II66" s="635"/>
      <c r="IJ66" s="635"/>
      <c r="IK66" s="635"/>
      <c r="IL66" s="635"/>
      <c r="IM66" s="635"/>
      <c r="IN66" s="635"/>
      <c r="IO66" s="635"/>
      <c r="IP66" s="635"/>
      <c r="IQ66" s="635"/>
      <c r="IR66" s="635"/>
      <c r="IS66" s="635"/>
      <c r="IT66" s="635"/>
      <c r="IU66" s="635"/>
      <c r="IV66" s="635"/>
      <c r="IW66" s="635"/>
    </row>
    <row r="67" customFormat="false" ht="12.75" hidden="false" customHeight="false" outlineLevel="0" collapsed="false">
      <c r="A67" s="685"/>
      <c r="B67" s="682" t="s">
        <v>633</v>
      </c>
      <c r="C67" s="682"/>
      <c r="D67" s="682"/>
      <c r="E67" s="691" t="n">
        <f aca="false">E64/$AP$53</f>
        <v>0</v>
      </c>
      <c r="F67" s="691" t="n">
        <f aca="false">F64/$AP$53</f>
        <v>0</v>
      </c>
      <c r="G67" s="691" t="n">
        <f aca="false">G64/$AP$53</f>
        <v>0</v>
      </c>
      <c r="H67" s="691" t="n">
        <f aca="false">H64/$AP$53</f>
        <v>0</v>
      </c>
      <c r="I67" s="691" t="n">
        <f aca="false">I64/$AP$53</f>
        <v>0</v>
      </c>
      <c r="J67" s="691" t="n">
        <f aca="false">J64/$AP$53</f>
        <v>0</v>
      </c>
      <c r="K67" s="691" t="n">
        <f aca="false">K64/$AP$53</f>
        <v>0</v>
      </c>
      <c r="L67" s="691" t="n">
        <f aca="false">L64/$AP$53</f>
        <v>0</v>
      </c>
      <c r="M67" s="691" t="n">
        <f aca="false">M64/$AP$53</f>
        <v>0</v>
      </c>
      <c r="N67" s="691" t="n">
        <f aca="false">N64/$AP$53</f>
        <v>0</v>
      </c>
      <c r="O67" s="691" t="n">
        <f aca="false">O64/$AP$53</f>
        <v>0</v>
      </c>
      <c r="P67" s="691" t="n">
        <f aca="false">P64/$AP$53</f>
        <v>0.0992956014449393</v>
      </c>
      <c r="Q67" s="691" t="n">
        <f aca="false">Q64/$AP$53</f>
        <v>0.05595902915031</v>
      </c>
      <c r="R67" s="691" t="n">
        <f aca="false">R64/$AP$53</f>
        <v>0.05595902915031</v>
      </c>
      <c r="S67" s="691" t="n">
        <f aca="false">S64/$AP$53</f>
        <v>0.05595902915031</v>
      </c>
      <c r="T67" s="691" t="n">
        <f aca="false">T64/$AP$53</f>
        <v>0.05595902915031</v>
      </c>
      <c r="U67" s="691" t="n">
        <f aca="false">U64/$AP$53</f>
        <v>0.05595902915031</v>
      </c>
      <c r="V67" s="691" t="n">
        <f aca="false">V64/$AP$53</f>
        <v>0.0365246086748652</v>
      </c>
      <c r="W67" s="691" t="n">
        <f aca="false">W64/$AP$53</f>
        <v>0.0365246086748652</v>
      </c>
      <c r="X67" s="691" t="n">
        <f aca="false">X64/$AP$53</f>
        <v>0.0365246086748652</v>
      </c>
      <c r="Y67" s="691" t="n">
        <f aca="false">Y64/$AP$53</f>
        <v>0.0365246086748652</v>
      </c>
      <c r="Z67" s="691" t="n">
        <f aca="false">Z64/$AP$53</f>
        <v>0.0365246086748652</v>
      </c>
      <c r="AA67" s="691" t="n">
        <f aca="false">AA64/$AP$53</f>
        <v>0.0365246086748652</v>
      </c>
      <c r="AB67" s="691" t="n">
        <f aca="false">AB64/$AP$53</f>
        <v>0.0365246086748652</v>
      </c>
      <c r="AC67" s="691" t="n">
        <f aca="false">AC64/$AP$53</f>
        <v>0.0365246086748652</v>
      </c>
      <c r="AD67" s="691" t="n">
        <f aca="false">AD64/$AP$53</f>
        <v>0.0365246086748652</v>
      </c>
      <c r="AE67" s="691" t="n">
        <f aca="false">AE64/$AP$53</f>
        <v>0.0365246086748652</v>
      </c>
      <c r="AF67" s="691" t="n">
        <f aca="false">AF64/$AP$53</f>
        <v>0.0365246086748652</v>
      </c>
      <c r="AG67" s="691" t="n">
        <f aca="false">AG64/$AP$53</f>
        <v>0.0365246086748652</v>
      </c>
      <c r="AH67" s="691" t="n">
        <f aca="false">AH64/$AP$53</f>
        <v>0.0365246086748652</v>
      </c>
      <c r="AI67" s="691" t="n">
        <f aca="false">AI64/$AP$53</f>
        <v>0.0365246086748652</v>
      </c>
      <c r="AJ67" s="691" t="n">
        <f aca="false">AJ64/$AP$53</f>
        <v>0.0365246086748652</v>
      </c>
      <c r="AK67" s="691" t="n">
        <f aca="false">AK64/$AP$53</f>
        <v>0.0365246086748652</v>
      </c>
      <c r="AL67" s="691" t="n">
        <f aca="false">AL64/$AP$53</f>
        <v>0.0365246086748652</v>
      </c>
      <c r="AM67" s="691" t="n">
        <f aca="false">AM64/$AP$53</f>
        <v>0</v>
      </c>
      <c r="AN67" s="691" t="n">
        <f aca="false">AN64/$AP$53</f>
        <v>0</v>
      </c>
      <c r="AO67" s="682"/>
      <c r="AP67" s="692" t="n">
        <f aca="false">SUM(E67:AO67)</f>
        <v>1.0000090946692</v>
      </c>
      <c r="AQ67" s="648" t="n">
        <f aca="false">AQ66+1</f>
        <v>61</v>
      </c>
      <c r="AR67" s="648" t="n">
        <f aca="false">AR66+1</f>
        <v>17</v>
      </c>
      <c r="AS67" s="635"/>
      <c r="AT67" s="719"/>
      <c r="AU67" s="39"/>
      <c r="AV67" s="39"/>
      <c r="AW67" s="39"/>
      <c r="AX67" s="39"/>
      <c r="AY67" s="39"/>
      <c r="AZ67" s="726"/>
      <c r="BA67" s="635"/>
      <c r="BB67" s="635"/>
      <c r="BC67" s="635"/>
      <c r="BD67" s="635"/>
      <c r="BE67" s="635"/>
      <c r="BF67" s="635"/>
      <c r="BG67" s="635"/>
      <c r="BH67" s="635"/>
      <c r="BI67" s="635"/>
      <c r="BJ67" s="635"/>
      <c r="BK67" s="635"/>
      <c r="BL67" s="635"/>
      <c r="BM67" s="635"/>
      <c r="BN67" s="635"/>
      <c r="BO67" s="635"/>
      <c r="BP67" s="635"/>
      <c r="BQ67" s="635"/>
      <c r="BR67" s="635"/>
      <c r="BS67" s="635"/>
      <c r="BT67" s="635"/>
      <c r="BU67" s="635"/>
      <c r="BV67" s="635"/>
      <c r="BW67" s="635"/>
      <c r="BX67" s="635"/>
      <c r="BY67" s="635"/>
      <c r="BZ67" s="635"/>
      <c r="CA67" s="635"/>
      <c r="CB67" s="635"/>
      <c r="CC67" s="635"/>
      <c r="CD67" s="635"/>
      <c r="CE67" s="635"/>
      <c r="CF67" s="635"/>
      <c r="CG67" s="635"/>
      <c r="CH67" s="635"/>
      <c r="CI67" s="635"/>
      <c r="CJ67" s="635"/>
      <c r="CK67" s="635"/>
      <c r="CL67" s="635"/>
      <c r="CM67" s="635"/>
      <c r="CN67" s="635"/>
      <c r="CO67" s="635"/>
      <c r="CP67" s="635"/>
      <c r="CQ67" s="635"/>
      <c r="CR67" s="635"/>
      <c r="CS67" s="635"/>
      <c r="CT67" s="635"/>
      <c r="CU67" s="635"/>
      <c r="CV67" s="635"/>
      <c r="CW67" s="635"/>
      <c r="CX67" s="635"/>
      <c r="CY67" s="635"/>
      <c r="CZ67" s="635"/>
      <c r="DA67" s="635"/>
      <c r="DB67" s="635"/>
      <c r="DC67" s="635"/>
      <c r="DD67" s="635"/>
      <c r="DE67" s="635"/>
      <c r="DF67" s="635"/>
      <c r="DG67" s="635"/>
      <c r="DH67" s="635"/>
      <c r="DI67" s="635"/>
      <c r="DJ67" s="635"/>
      <c r="DK67" s="635"/>
      <c r="DL67" s="635"/>
      <c r="DM67" s="635"/>
      <c r="DN67" s="635"/>
      <c r="DO67" s="635"/>
      <c r="DP67" s="635"/>
      <c r="DQ67" s="635"/>
      <c r="DR67" s="635"/>
      <c r="DS67" s="635"/>
      <c r="DT67" s="635"/>
      <c r="DU67" s="635"/>
      <c r="DV67" s="635"/>
      <c r="DW67" s="635"/>
      <c r="DX67" s="635"/>
      <c r="DY67" s="635"/>
      <c r="DZ67" s="635"/>
      <c r="EA67" s="635"/>
      <c r="EB67" s="635"/>
      <c r="EC67" s="635"/>
      <c r="ED67" s="635"/>
      <c r="EE67" s="635"/>
      <c r="EF67" s="635"/>
      <c r="EG67" s="635"/>
      <c r="EH67" s="635"/>
      <c r="EI67" s="635"/>
      <c r="EJ67" s="635"/>
      <c r="EK67" s="635"/>
      <c r="EL67" s="635"/>
      <c r="EM67" s="635"/>
      <c r="EN67" s="635"/>
      <c r="EO67" s="635"/>
      <c r="EP67" s="635"/>
      <c r="EQ67" s="635"/>
      <c r="ER67" s="635"/>
      <c r="ES67" s="635"/>
      <c r="ET67" s="635"/>
      <c r="EU67" s="635"/>
      <c r="EV67" s="635"/>
      <c r="EW67" s="635"/>
      <c r="EX67" s="635"/>
      <c r="EY67" s="635"/>
      <c r="EZ67" s="635"/>
      <c r="FA67" s="635"/>
      <c r="FB67" s="635"/>
      <c r="FC67" s="635"/>
      <c r="FD67" s="635"/>
      <c r="FE67" s="635"/>
      <c r="FF67" s="635"/>
      <c r="FG67" s="635"/>
      <c r="FH67" s="635"/>
      <c r="FI67" s="635"/>
      <c r="FJ67" s="635"/>
      <c r="FK67" s="635"/>
      <c r="FL67" s="635"/>
      <c r="FM67" s="635"/>
      <c r="FN67" s="635"/>
      <c r="FO67" s="635"/>
      <c r="FP67" s="635"/>
      <c r="FQ67" s="635"/>
      <c r="FR67" s="635"/>
      <c r="FS67" s="635"/>
      <c r="FT67" s="635"/>
      <c r="FU67" s="635"/>
      <c r="FV67" s="635"/>
      <c r="FW67" s="635"/>
      <c r="FX67" s="635"/>
      <c r="FY67" s="635"/>
      <c r="FZ67" s="635"/>
      <c r="GA67" s="635"/>
      <c r="GB67" s="635"/>
      <c r="GC67" s="635"/>
      <c r="GD67" s="635"/>
      <c r="GE67" s="635"/>
      <c r="GF67" s="635"/>
      <c r="GG67" s="635"/>
      <c r="GH67" s="635"/>
      <c r="GI67" s="635"/>
      <c r="GJ67" s="635"/>
      <c r="GK67" s="635"/>
      <c r="GL67" s="635"/>
      <c r="GM67" s="635"/>
      <c r="GN67" s="635"/>
      <c r="GO67" s="635"/>
      <c r="GP67" s="635"/>
      <c r="GQ67" s="635"/>
      <c r="GR67" s="635"/>
      <c r="GS67" s="635"/>
      <c r="GT67" s="635"/>
      <c r="GU67" s="635"/>
      <c r="GV67" s="635"/>
      <c r="GW67" s="635"/>
      <c r="GX67" s="635"/>
      <c r="GY67" s="635"/>
      <c r="GZ67" s="635"/>
      <c r="HA67" s="635"/>
      <c r="HB67" s="635"/>
      <c r="HC67" s="635"/>
      <c r="HD67" s="635"/>
      <c r="HE67" s="635"/>
      <c r="HF67" s="635"/>
      <c r="HG67" s="635"/>
      <c r="HH67" s="635"/>
      <c r="HI67" s="635"/>
      <c r="HJ67" s="635"/>
      <c r="HK67" s="635"/>
      <c r="HL67" s="635"/>
      <c r="HM67" s="635"/>
      <c r="HN67" s="635"/>
      <c r="HO67" s="635"/>
      <c r="HP67" s="635"/>
      <c r="HQ67" s="635"/>
      <c r="HR67" s="635"/>
      <c r="HS67" s="635"/>
      <c r="HT67" s="635"/>
      <c r="HU67" s="635"/>
      <c r="HV67" s="635"/>
      <c r="HW67" s="635"/>
      <c r="HX67" s="635"/>
      <c r="HY67" s="635"/>
      <c r="HZ67" s="635"/>
      <c r="IA67" s="635"/>
      <c r="IB67" s="635"/>
      <c r="IC67" s="635"/>
      <c r="ID67" s="635"/>
      <c r="IE67" s="635"/>
      <c r="IF67" s="635"/>
      <c r="IG67" s="635"/>
      <c r="IH67" s="635"/>
      <c r="II67" s="635"/>
      <c r="IJ67" s="635"/>
      <c r="IK67" s="635"/>
      <c r="IL67" s="635"/>
      <c r="IM67" s="635"/>
      <c r="IN67" s="635"/>
      <c r="IO67" s="635"/>
      <c r="IP67" s="635"/>
      <c r="IQ67" s="635"/>
      <c r="IR67" s="635"/>
      <c r="IS67" s="635"/>
      <c r="IT67" s="635"/>
      <c r="IU67" s="635"/>
      <c r="IV67" s="635"/>
      <c r="IW67" s="635"/>
    </row>
    <row r="68" customFormat="false" ht="12.75" hidden="false" customHeight="false" outlineLevel="0" collapsed="false">
      <c r="A68" s="697"/>
      <c r="B68" s="698" t="s">
        <v>637</v>
      </c>
      <c r="C68" s="698"/>
      <c r="D68" s="698"/>
      <c r="E68" s="699" t="n">
        <f aca="false">SUM($E67:E67)</f>
        <v>0</v>
      </c>
      <c r="F68" s="699" t="n">
        <f aca="false">SUM($E67:F67)</f>
        <v>0</v>
      </c>
      <c r="G68" s="699" t="n">
        <f aca="false">SUM($E67:G67)</f>
        <v>0</v>
      </c>
      <c r="H68" s="699" t="n">
        <f aca="false">SUM($E67:H67)</f>
        <v>0</v>
      </c>
      <c r="I68" s="699" t="n">
        <f aca="false">SUM($E67:I67)</f>
        <v>0</v>
      </c>
      <c r="J68" s="699" t="n">
        <f aca="false">SUM($E67:J67)</f>
        <v>0</v>
      </c>
      <c r="K68" s="699" t="n">
        <f aca="false">SUM($E67:K67)</f>
        <v>0</v>
      </c>
      <c r="L68" s="699" t="n">
        <f aca="false">SUM($E67:L67)</f>
        <v>0</v>
      </c>
      <c r="M68" s="699" t="n">
        <f aca="false">SUM($E67:M67)</f>
        <v>0</v>
      </c>
      <c r="N68" s="699" t="n">
        <f aca="false">SUM($E67:N67)</f>
        <v>0</v>
      </c>
      <c r="O68" s="699" t="n">
        <f aca="false">SUM($E67:O67)</f>
        <v>0</v>
      </c>
      <c r="P68" s="699" t="n">
        <f aca="false">SUM($E67:P67)</f>
        <v>0.0992956014449393</v>
      </c>
      <c r="Q68" s="699" t="n">
        <f aca="false">SUM($E67:Q67)</f>
        <v>0.155254630595249</v>
      </c>
      <c r="R68" s="699" t="n">
        <f aca="false">SUM($E67:R67)</f>
        <v>0.211213659745559</v>
      </c>
      <c r="S68" s="699" t="n">
        <f aca="false">SUM($E67:S67)</f>
        <v>0.267172688895869</v>
      </c>
      <c r="T68" s="699" t="n">
        <f aca="false">SUM($E67:T67)</f>
        <v>0.323131718046179</v>
      </c>
      <c r="U68" s="699" t="n">
        <f aca="false">SUM($E67:U67)</f>
        <v>0.379090747196489</v>
      </c>
      <c r="V68" s="699" t="n">
        <f aca="false">SUM($E67:V67)</f>
        <v>0.415615355871354</v>
      </c>
      <c r="W68" s="699" t="n">
        <f aca="false">SUM($E67:W67)</f>
        <v>0.45213996454622</v>
      </c>
      <c r="X68" s="699" t="n">
        <f aca="false">SUM($E67:X67)</f>
        <v>0.488664573221085</v>
      </c>
      <c r="Y68" s="699" t="n">
        <f aca="false">SUM($E67:Y67)</f>
        <v>0.52518918189595</v>
      </c>
      <c r="Z68" s="699" t="n">
        <f aca="false">SUM($E67:Z67)</f>
        <v>0.561713790570815</v>
      </c>
      <c r="AA68" s="699" t="n">
        <f aca="false">SUM($E67:AA67)</f>
        <v>0.59823839924568</v>
      </c>
      <c r="AB68" s="699" t="n">
        <f aca="false">SUM($E67:AB67)</f>
        <v>0.634763007920545</v>
      </c>
      <c r="AC68" s="699" t="n">
        <f aca="false">SUM($E67:AC67)</f>
        <v>0.671287616595411</v>
      </c>
      <c r="AD68" s="699" t="n">
        <f aca="false">SUM($E67:AD67)</f>
        <v>0.707812225270276</v>
      </c>
      <c r="AE68" s="699" t="n">
        <f aca="false">SUM($E67:AE67)</f>
        <v>0.744336833945141</v>
      </c>
      <c r="AF68" s="699" t="n">
        <f aca="false">SUM($E67:AF67)</f>
        <v>0.780861442620006</v>
      </c>
      <c r="AG68" s="699" t="n">
        <f aca="false">SUM($E67:AG67)</f>
        <v>0.817386051294871</v>
      </c>
      <c r="AH68" s="699" t="n">
        <f aca="false">SUM($E67:AH67)</f>
        <v>0.853910659969736</v>
      </c>
      <c r="AI68" s="699" t="n">
        <f aca="false">SUM($E67:AI67)</f>
        <v>0.890435268644602</v>
      </c>
      <c r="AJ68" s="699" t="n">
        <f aca="false">SUM($E67:AJ67)</f>
        <v>0.926959877319467</v>
      </c>
      <c r="AK68" s="699" t="n">
        <f aca="false">SUM($E67:AK67)</f>
        <v>0.963484485994332</v>
      </c>
      <c r="AL68" s="699" t="n">
        <f aca="false">SUM($E67:AL67)</f>
        <v>1.0000090946692</v>
      </c>
      <c r="AM68" s="699" t="n">
        <f aca="false">SUM($E67:AM67)</f>
        <v>1.0000090946692</v>
      </c>
      <c r="AN68" s="699" t="n">
        <f aca="false">SUM($E67:AN67)</f>
        <v>1.0000090946692</v>
      </c>
      <c r="AO68" s="698"/>
      <c r="AP68" s="700"/>
      <c r="AQ68" s="648" t="n">
        <f aca="false">AQ67+1</f>
        <v>62</v>
      </c>
      <c r="AR68" s="648" t="n">
        <f aca="false">AR67+1</f>
        <v>18</v>
      </c>
      <c r="AS68" s="635"/>
      <c r="AT68" s="719" t="s">
        <v>651</v>
      </c>
      <c r="AU68" s="39"/>
      <c r="AV68" s="709" t="n">
        <f aca="false">C60</f>
        <v>36892</v>
      </c>
      <c r="AW68" s="39"/>
      <c r="AX68" s="39"/>
      <c r="AY68" s="39"/>
      <c r="AZ68" s="726"/>
      <c r="BA68" s="635"/>
      <c r="BB68" s="635"/>
      <c r="BC68" s="635"/>
      <c r="BD68" s="635"/>
      <c r="BE68" s="635"/>
      <c r="BF68" s="635"/>
      <c r="BG68" s="635"/>
      <c r="BH68" s="635"/>
      <c r="BI68" s="635"/>
      <c r="BJ68" s="635"/>
      <c r="BK68" s="635"/>
      <c r="BL68" s="635"/>
      <c r="BM68" s="635"/>
      <c r="BN68" s="635"/>
      <c r="BO68" s="635"/>
      <c r="BP68" s="635"/>
      <c r="BQ68" s="635"/>
      <c r="BR68" s="635"/>
      <c r="BS68" s="635"/>
      <c r="BT68" s="635"/>
      <c r="BU68" s="635"/>
      <c r="BV68" s="635"/>
      <c r="BW68" s="635"/>
      <c r="BX68" s="635"/>
      <c r="BY68" s="635"/>
      <c r="BZ68" s="635"/>
      <c r="CA68" s="635"/>
      <c r="CB68" s="635"/>
      <c r="CC68" s="635"/>
      <c r="CD68" s="635"/>
      <c r="CE68" s="635"/>
      <c r="CF68" s="635"/>
      <c r="CG68" s="635"/>
      <c r="CH68" s="635"/>
      <c r="CI68" s="635"/>
      <c r="CJ68" s="635"/>
      <c r="CK68" s="635"/>
      <c r="CL68" s="635"/>
      <c r="CM68" s="635"/>
      <c r="CN68" s="635"/>
      <c r="CO68" s="635"/>
      <c r="CP68" s="635"/>
      <c r="CQ68" s="635"/>
      <c r="CR68" s="635"/>
      <c r="CS68" s="635"/>
      <c r="CT68" s="635"/>
      <c r="CU68" s="635"/>
      <c r="CV68" s="635"/>
      <c r="CW68" s="635"/>
      <c r="CX68" s="635"/>
      <c r="CY68" s="635"/>
      <c r="CZ68" s="635"/>
      <c r="DA68" s="635"/>
      <c r="DB68" s="635"/>
      <c r="DC68" s="635"/>
      <c r="DD68" s="635"/>
      <c r="DE68" s="635"/>
      <c r="DF68" s="635"/>
      <c r="DG68" s="635"/>
      <c r="DH68" s="635"/>
      <c r="DI68" s="635"/>
      <c r="DJ68" s="635"/>
      <c r="DK68" s="635"/>
      <c r="DL68" s="635"/>
      <c r="DM68" s="635"/>
      <c r="DN68" s="635"/>
      <c r="DO68" s="635"/>
      <c r="DP68" s="635"/>
      <c r="DQ68" s="635"/>
      <c r="DR68" s="635"/>
      <c r="DS68" s="635"/>
      <c r="DT68" s="635"/>
      <c r="DU68" s="635"/>
      <c r="DV68" s="635"/>
      <c r="DW68" s="635"/>
      <c r="DX68" s="635"/>
      <c r="DY68" s="635"/>
      <c r="DZ68" s="635"/>
      <c r="EA68" s="635"/>
      <c r="EB68" s="635"/>
      <c r="EC68" s="635"/>
      <c r="ED68" s="635"/>
      <c r="EE68" s="635"/>
      <c r="EF68" s="635"/>
      <c r="EG68" s="635"/>
      <c r="EH68" s="635"/>
      <c r="EI68" s="635"/>
      <c r="EJ68" s="635"/>
      <c r="EK68" s="635"/>
      <c r="EL68" s="635"/>
      <c r="EM68" s="635"/>
      <c r="EN68" s="635"/>
      <c r="EO68" s="635"/>
      <c r="EP68" s="635"/>
      <c r="EQ68" s="635"/>
      <c r="ER68" s="635"/>
      <c r="ES68" s="635"/>
      <c r="ET68" s="635"/>
      <c r="EU68" s="635"/>
      <c r="EV68" s="635"/>
      <c r="EW68" s="635"/>
      <c r="EX68" s="635"/>
      <c r="EY68" s="635"/>
      <c r="EZ68" s="635"/>
      <c r="FA68" s="635"/>
      <c r="FB68" s="635"/>
      <c r="FC68" s="635"/>
      <c r="FD68" s="635"/>
      <c r="FE68" s="635"/>
      <c r="FF68" s="635"/>
      <c r="FG68" s="635"/>
      <c r="FH68" s="635"/>
      <c r="FI68" s="635"/>
      <c r="FJ68" s="635"/>
      <c r="FK68" s="635"/>
      <c r="FL68" s="635"/>
      <c r="FM68" s="635"/>
      <c r="FN68" s="635"/>
      <c r="FO68" s="635"/>
      <c r="FP68" s="635"/>
      <c r="FQ68" s="635"/>
      <c r="FR68" s="635"/>
      <c r="FS68" s="635"/>
      <c r="FT68" s="635"/>
      <c r="FU68" s="635"/>
      <c r="FV68" s="635"/>
      <c r="FW68" s="635"/>
      <c r="FX68" s="635"/>
      <c r="FY68" s="635"/>
      <c r="FZ68" s="635"/>
      <c r="GA68" s="635"/>
      <c r="GB68" s="635"/>
      <c r="GC68" s="635"/>
      <c r="GD68" s="635"/>
      <c r="GE68" s="635"/>
      <c r="GF68" s="635"/>
      <c r="GG68" s="635"/>
      <c r="GH68" s="635"/>
      <c r="GI68" s="635"/>
      <c r="GJ68" s="635"/>
      <c r="GK68" s="635"/>
      <c r="GL68" s="635"/>
      <c r="GM68" s="635"/>
      <c r="GN68" s="635"/>
      <c r="GO68" s="635"/>
      <c r="GP68" s="635"/>
      <c r="GQ68" s="635"/>
      <c r="GR68" s="635"/>
      <c r="GS68" s="635"/>
      <c r="GT68" s="635"/>
      <c r="GU68" s="635"/>
      <c r="GV68" s="635"/>
      <c r="GW68" s="635"/>
      <c r="GX68" s="635"/>
      <c r="GY68" s="635"/>
      <c r="GZ68" s="635"/>
      <c r="HA68" s="635"/>
      <c r="HB68" s="635"/>
      <c r="HC68" s="635"/>
      <c r="HD68" s="635"/>
      <c r="HE68" s="635"/>
      <c r="HF68" s="635"/>
      <c r="HG68" s="635"/>
      <c r="HH68" s="635"/>
      <c r="HI68" s="635"/>
      <c r="HJ68" s="635"/>
      <c r="HK68" s="635"/>
      <c r="HL68" s="635"/>
      <c r="HM68" s="635"/>
      <c r="HN68" s="635"/>
      <c r="HO68" s="635"/>
      <c r="HP68" s="635"/>
      <c r="HQ68" s="635"/>
      <c r="HR68" s="635"/>
      <c r="HS68" s="635"/>
      <c r="HT68" s="635"/>
      <c r="HU68" s="635"/>
      <c r="HV68" s="635"/>
      <c r="HW68" s="635"/>
      <c r="HX68" s="635"/>
      <c r="HY68" s="635"/>
      <c r="HZ68" s="635"/>
      <c r="IA68" s="635"/>
      <c r="IB68" s="635"/>
      <c r="IC68" s="635"/>
      <c r="ID68" s="635"/>
      <c r="IE68" s="635"/>
      <c r="IF68" s="635"/>
      <c r="IG68" s="635"/>
      <c r="IH68" s="635"/>
      <c r="II68" s="635"/>
      <c r="IJ68" s="635"/>
      <c r="IK68" s="635"/>
      <c r="IL68" s="635"/>
      <c r="IM68" s="635"/>
      <c r="IN68" s="635"/>
      <c r="IO68" s="635"/>
      <c r="IP68" s="635"/>
      <c r="IQ68" s="635"/>
      <c r="IR68" s="635"/>
      <c r="IS68" s="635"/>
      <c r="IT68" s="635"/>
      <c r="IU68" s="635"/>
      <c r="IV68" s="635"/>
      <c r="IW68" s="635"/>
    </row>
    <row r="69" customFormat="false" ht="13.5" hidden="false" customHeight="false" outlineLevel="0" collapsed="false">
      <c r="A69" s="49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349"/>
      <c r="AT69" s="727" t="s">
        <v>652</v>
      </c>
      <c r="AU69" s="466"/>
      <c r="AV69" s="466"/>
      <c r="AW69" s="728" t="n">
        <f aca="false">ROUND((AV68-AV60)/(365/12),0)</f>
        <v>17</v>
      </c>
      <c r="AX69" s="466"/>
      <c r="AY69" s="466"/>
      <c r="AZ69" s="729"/>
    </row>
    <row r="71" customFormat="false" ht="13.5" hidden="false" customHeight="false" outlineLevel="0" collapsed="false">
      <c r="E71" s="730"/>
      <c r="F71" s="730"/>
      <c r="G71" s="730"/>
      <c r="H71" s="730"/>
      <c r="I71" s="730"/>
      <c r="J71" s="730"/>
      <c r="K71" s="730"/>
      <c r="L71" s="730"/>
      <c r="M71" s="730"/>
      <c r="N71" s="730"/>
      <c r="O71" s="730"/>
      <c r="P71" s="730"/>
      <c r="Q71" s="730"/>
      <c r="R71" s="730"/>
      <c r="S71" s="730"/>
      <c r="T71" s="730"/>
      <c r="U71" s="730"/>
      <c r="V71" s="730"/>
      <c r="W71" s="730"/>
      <c r="X71" s="730"/>
    </row>
    <row r="72" customFormat="false" ht="12.75" hidden="false" customHeight="false" outlineLevel="0" collapsed="false">
      <c r="A72" s="731"/>
      <c r="B72" s="732"/>
      <c r="C72" s="732"/>
      <c r="D72" s="732"/>
      <c r="E72" s="732"/>
      <c r="F72" s="732"/>
      <c r="G72" s="732"/>
      <c r="H72" s="732"/>
      <c r="I72" s="732"/>
      <c r="J72" s="732"/>
      <c r="K72" s="732"/>
      <c r="L72" s="732"/>
      <c r="M72" s="732"/>
      <c r="N72" s="732"/>
      <c r="O72" s="732"/>
      <c r="P72" s="732"/>
      <c r="Q72" s="732"/>
      <c r="R72" s="732"/>
      <c r="S72" s="732"/>
      <c r="T72" s="732"/>
      <c r="U72" s="732"/>
      <c r="V72" s="732"/>
      <c r="W72" s="732"/>
      <c r="X72" s="732"/>
      <c r="Y72" s="732"/>
      <c r="Z72" s="732"/>
      <c r="AA72" s="732"/>
      <c r="AB72" s="732"/>
      <c r="AC72" s="733" t="s">
        <v>42</v>
      </c>
    </row>
    <row r="73" customFormat="false" ht="18" hidden="false" customHeight="false" outlineLevel="0" collapsed="false">
      <c r="A73" s="734" t="s">
        <v>653</v>
      </c>
      <c r="B73" s="735"/>
      <c r="C73" s="735"/>
      <c r="D73" s="735"/>
      <c r="E73" s="736" t="n">
        <v>35887</v>
      </c>
      <c r="F73" s="736" t="n">
        <v>35917</v>
      </c>
      <c r="G73" s="736" t="n">
        <v>35947</v>
      </c>
      <c r="H73" s="736" t="n">
        <v>35977</v>
      </c>
      <c r="I73" s="736" t="n">
        <v>36008</v>
      </c>
      <c r="J73" s="736" t="n">
        <v>36039</v>
      </c>
      <c r="K73" s="736" t="n">
        <v>36070</v>
      </c>
      <c r="L73" s="736" t="n">
        <v>36100</v>
      </c>
      <c r="M73" s="736" t="n">
        <v>36130</v>
      </c>
      <c r="N73" s="736" t="n">
        <v>36161</v>
      </c>
      <c r="O73" s="736" t="n">
        <v>36192</v>
      </c>
      <c r="P73" s="736" t="n">
        <v>36222</v>
      </c>
      <c r="Q73" s="736" t="n">
        <v>36252</v>
      </c>
      <c r="R73" s="736" t="n">
        <v>36282</v>
      </c>
      <c r="S73" s="736" t="n">
        <v>36312</v>
      </c>
      <c r="T73" s="736" t="n">
        <v>36342</v>
      </c>
      <c r="U73" s="736" t="n">
        <v>36373</v>
      </c>
      <c r="V73" s="736" t="n">
        <v>36404</v>
      </c>
      <c r="W73" s="736" t="n">
        <v>36434</v>
      </c>
      <c r="X73" s="736" t="n">
        <v>36465</v>
      </c>
      <c r="Y73" s="736" t="n">
        <v>36495</v>
      </c>
      <c r="Z73" s="736" t="n">
        <v>36526</v>
      </c>
      <c r="AA73" s="736" t="n">
        <v>36557</v>
      </c>
      <c r="AB73" s="736" t="n">
        <v>36586</v>
      </c>
      <c r="AC73" s="737" t="s">
        <v>654</v>
      </c>
    </row>
    <row r="74" customFormat="false" ht="12.75" hidden="false" customHeight="false" outlineLevel="0" collapsed="false">
      <c r="A74" s="738" t="s">
        <v>655</v>
      </c>
      <c r="B74" s="739"/>
      <c r="C74" s="739"/>
      <c r="D74" s="739"/>
      <c r="E74" s="739"/>
      <c r="F74" s="739"/>
      <c r="G74" s="739"/>
      <c r="H74" s="739"/>
      <c r="I74" s="739"/>
      <c r="J74" s="739"/>
      <c r="K74" s="739"/>
      <c r="L74" s="739"/>
      <c r="M74" s="739"/>
      <c r="N74" s="739"/>
      <c r="O74" s="739"/>
      <c r="P74" s="739"/>
      <c r="Q74" s="739"/>
      <c r="R74" s="739"/>
      <c r="S74" s="739"/>
      <c r="T74" s="739"/>
      <c r="U74" s="739"/>
      <c r="V74" s="739"/>
      <c r="W74" s="739"/>
      <c r="X74" s="740"/>
      <c r="Y74" s="740"/>
      <c r="Z74" s="740"/>
      <c r="AA74" s="740"/>
      <c r="AB74" s="740"/>
      <c r="AC74" s="741"/>
    </row>
    <row r="75" customFormat="false" ht="12.75" hidden="false" customHeight="false" outlineLevel="0" collapsed="false">
      <c r="A75" s="742" t="s">
        <v>656</v>
      </c>
      <c r="B75" s="743"/>
      <c r="C75" s="743"/>
      <c r="D75" s="743"/>
      <c r="E75" s="744"/>
      <c r="F75" s="744"/>
      <c r="G75" s="744"/>
      <c r="H75" s="744"/>
      <c r="I75" s="744"/>
      <c r="J75" s="744"/>
      <c r="K75" s="744"/>
      <c r="L75" s="744"/>
      <c r="M75" s="744"/>
      <c r="N75" s="744"/>
      <c r="O75" s="744"/>
      <c r="P75" s="744"/>
      <c r="Q75" s="744"/>
      <c r="R75" s="744"/>
      <c r="S75" s="744"/>
      <c r="T75" s="744"/>
      <c r="U75" s="744"/>
      <c r="V75" s="744"/>
      <c r="W75" s="744"/>
      <c r="X75" s="744"/>
      <c r="Y75" s="744"/>
      <c r="Z75" s="744"/>
      <c r="AA75" s="744"/>
      <c r="AB75" s="744"/>
      <c r="AC75" s="745"/>
      <c r="AD75" s="746"/>
      <c r="AE75" s="746"/>
      <c r="AF75" s="746"/>
      <c r="AG75" s="746"/>
      <c r="AH75" s="746"/>
      <c r="AI75" s="746"/>
      <c r="AJ75" s="746"/>
      <c r="AK75" s="746"/>
      <c r="AL75" s="746"/>
      <c r="AM75" s="746"/>
      <c r="AN75" s="746"/>
      <c r="AO75" s="746"/>
      <c r="AP75" s="746"/>
      <c r="AQ75" s="746"/>
      <c r="AR75" s="746"/>
      <c r="AS75" s="746"/>
      <c r="AT75" s="746"/>
      <c r="AU75" s="746"/>
      <c r="AV75" s="746"/>
      <c r="AW75" s="746"/>
      <c r="AX75" s="746"/>
      <c r="AY75" s="746"/>
      <c r="AZ75" s="746"/>
      <c r="BA75" s="746"/>
      <c r="BB75" s="746"/>
      <c r="BC75" s="746"/>
      <c r="BD75" s="746"/>
      <c r="BE75" s="746"/>
      <c r="BF75" s="746"/>
      <c r="BG75" s="746"/>
      <c r="BH75" s="746"/>
      <c r="BI75" s="746"/>
      <c r="BJ75" s="746"/>
      <c r="BK75" s="746"/>
      <c r="BL75" s="746"/>
      <c r="BM75" s="746"/>
      <c r="BN75" s="746"/>
      <c r="BO75" s="746"/>
      <c r="BP75" s="746"/>
      <c r="BQ75" s="746"/>
      <c r="BR75" s="746"/>
      <c r="BS75" s="746"/>
      <c r="BT75" s="746"/>
      <c r="BU75" s="746"/>
      <c r="BV75" s="746"/>
      <c r="BW75" s="746"/>
      <c r="BX75" s="746"/>
      <c r="BY75" s="746"/>
      <c r="BZ75" s="746"/>
      <c r="CA75" s="746"/>
      <c r="CB75" s="746"/>
      <c r="CC75" s="746"/>
      <c r="CD75" s="746"/>
      <c r="CE75" s="746"/>
      <c r="CF75" s="746"/>
      <c r="CG75" s="746"/>
      <c r="CH75" s="746"/>
      <c r="CI75" s="746"/>
      <c r="CJ75" s="746"/>
      <c r="CK75" s="746"/>
      <c r="CL75" s="746"/>
      <c r="CM75" s="746"/>
      <c r="CN75" s="746"/>
      <c r="CO75" s="746"/>
      <c r="CP75" s="746"/>
      <c r="CQ75" s="746"/>
      <c r="CR75" s="746"/>
      <c r="CS75" s="746"/>
      <c r="CT75" s="746"/>
      <c r="CU75" s="746"/>
      <c r="CV75" s="746"/>
      <c r="CW75" s="746"/>
      <c r="CX75" s="746"/>
      <c r="CY75" s="746"/>
      <c r="CZ75" s="746"/>
      <c r="DA75" s="746"/>
      <c r="DB75" s="746"/>
      <c r="DC75" s="746"/>
      <c r="DD75" s="746"/>
      <c r="DE75" s="746"/>
      <c r="DF75" s="746"/>
      <c r="DG75" s="746"/>
      <c r="DH75" s="746"/>
      <c r="DI75" s="746"/>
      <c r="DJ75" s="746"/>
      <c r="DK75" s="746"/>
      <c r="DL75" s="746"/>
      <c r="DM75" s="746"/>
      <c r="DN75" s="746"/>
      <c r="DO75" s="746"/>
      <c r="DP75" s="746"/>
      <c r="DQ75" s="746"/>
      <c r="DR75" s="746"/>
      <c r="DS75" s="746"/>
      <c r="DT75" s="746"/>
      <c r="DU75" s="746"/>
      <c r="DV75" s="746"/>
      <c r="DW75" s="746"/>
      <c r="DX75" s="746"/>
      <c r="DY75" s="746"/>
      <c r="DZ75" s="746"/>
      <c r="EA75" s="746"/>
      <c r="EB75" s="746"/>
      <c r="EC75" s="746"/>
      <c r="ED75" s="746"/>
      <c r="EE75" s="746"/>
      <c r="EF75" s="746"/>
      <c r="EG75" s="746"/>
      <c r="EH75" s="746"/>
      <c r="EI75" s="746"/>
      <c r="EJ75" s="746"/>
      <c r="EK75" s="746"/>
      <c r="EL75" s="746"/>
      <c r="EM75" s="746"/>
      <c r="EN75" s="746"/>
      <c r="EO75" s="746"/>
      <c r="EP75" s="746"/>
      <c r="EQ75" s="746"/>
      <c r="ER75" s="746"/>
      <c r="ES75" s="746"/>
      <c r="ET75" s="746"/>
      <c r="EU75" s="746"/>
      <c r="EV75" s="746"/>
      <c r="EW75" s="746"/>
      <c r="EX75" s="746"/>
      <c r="EY75" s="746"/>
      <c r="EZ75" s="746"/>
      <c r="FA75" s="746"/>
      <c r="FB75" s="746"/>
      <c r="FC75" s="746"/>
      <c r="FD75" s="746"/>
      <c r="FE75" s="746"/>
      <c r="FF75" s="746"/>
      <c r="FG75" s="746"/>
      <c r="FH75" s="746"/>
      <c r="FI75" s="746"/>
      <c r="FJ75" s="746"/>
      <c r="FK75" s="746"/>
      <c r="FL75" s="746"/>
      <c r="FM75" s="746"/>
      <c r="FN75" s="746"/>
      <c r="FO75" s="746"/>
      <c r="FP75" s="746"/>
      <c r="FQ75" s="746"/>
      <c r="FR75" s="746"/>
      <c r="FS75" s="746"/>
      <c r="FT75" s="746"/>
      <c r="FU75" s="746"/>
      <c r="FV75" s="746"/>
      <c r="FW75" s="746"/>
      <c r="FX75" s="746"/>
      <c r="FY75" s="746"/>
      <c r="FZ75" s="746"/>
      <c r="GA75" s="746"/>
      <c r="GB75" s="746"/>
      <c r="GC75" s="746"/>
      <c r="GD75" s="746"/>
      <c r="GE75" s="746"/>
      <c r="GF75" s="746"/>
      <c r="GG75" s="746"/>
      <c r="GH75" s="746"/>
      <c r="GI75" s="746"/>
      <c r="GJ75" s="746"/>
      <c r="GK75" s="746"/>
      <c r="GL75" s="746"/>
      <c r="GM75" s="746"/>
      <c r="GN75" s="746"/>
      <c r="GO75" s="746"/>
      <c r="GP75" s="746"/>
      <c r="GQ75" s="746"/>
      <c r="GR75" s="746"/>
      <c r="GS75" s="746"/>
      <c r="GT75" s="746"/>
      <c r="GU75" s="746"/>
      <c r="GV75" s="746"/>
      <c r="GW75" s="746"/>
      <c r="GX75" s="746"/>
      <c r="GY75" s="746"/>
      <c r="GZ75" s="746"/>
      <c r="HA75" s="746"/>
      <c r="HB75" s="746"/>
      <c r="HC75" s="746"/>
      <c r="HD75" s="746"/>
      <c r="HE75" s="746"/>
      <c r="HF75" s="746"/>
      <c r="HG75" s="746"/>
      <c r="HH75" s="746"/>
      <c r="HI75" s="746"/>
      <c r="HJ75" s="746"/>
      <c r="HK75" s="746"/>
      <c r="HL75" s="746"/>
      <c r="HM75" s="746"/>
      <c r="HN75" s="746"/>
      <c r="HO75" s="746"/>
      <c r="HP75" s="746"/>
      <c r="HQ75" s="746"/>
      <c r="HR75" s="746"/>
      <c r="HS75" s="746"/>
      <c r="HT75" s="746"/>
      <c r="HU75" s="746"/>
      <c r="HV75" s="746"/>
      <c r="HW75" s="746"/>
      <c r="HX75" s="746"/>
      <c r="HY75" s="746"/>
      <c r="HZ75" s="746"/>
      <c r="IA75" s="746"/>
      <c r="IB75" s="746"/>
      <c r="IC75" s="746"/>
      <c r="ID75" s="746"/>
      <c r="IE75" s="746"/>
      <c r="IF75" s="746"/>
      <c r="IG75" s="746"/>
      <c r="IH75" s="746"/>
      <c r="II75" s="746"/>
      <c r="IJ75" s="746"/>
      <c r="IK75" s="746"/>
      <c r="IL75" s="746"/>
      <c r="IM75" s="746"/>
      <c r="IN75" s="746"/>
      <c r="IO75" s="746"/>
      <c r="IP75" s="746"/>
      <c r="IQ75" s="746"/>
      <c r="IR75" s="746"/>
      <c r="IS75" s="746"/>
      <c r="IT75" s="746"/>
      <c r="IU75" s="746"/>
      <c r="IV75" s="746"/>
      <c r="IW75" s="746"/>
    </row>
    <row r="76" customFormat="false" ht="12.75" hidden="false" customHeight="false" outlineLevel="0" collapsed="false">
      <c r="A76" s="747"/>
      <c r="B76" s="743" t="s">
        <v>657</v>
      </c>
      <c r="C76" s="743"/>
      <c r="D76" s="743"/>
      <c r="E76" s="748" t="n">
        <v>0</v>
      </c>
      <c r="F76" s="748" t="n">
        <v>260.869565217391</v>
      </c>
      <c r="G76" s="748" t="n">
        <v>369.057908383751</v>
      </c>
      <c r="H76" s="748" t="n">
        <v>0</v>
      </c>
      <c r="I76" s="748" t="n">
        <v>0</v>
      </c>
      <c r="J76" s="748" t="n">
        <v>0</v>
      </c>
      <c r="K76" s="748" t="n">
        <v>0</v>
      </c>
      <c r="L76" s="748" t="n">
        <v>2676.3977770293</v>
      </c>
      <c r="M76" s="748" t="n">
        <v>3331.64483501907</v>
      </c>
      <c r="N76" s="748" t="n">
        <v>2443.64720812183</v>
      </c>
      <c r="O76" s="748" t="n">
        <v>4312.36681518791</v>
      </c>
      <c r="P76" s="748" t="n">
        <v>0</v>
      </c>
      <c r="Q76" s="748" t="n">
        <v>4214.6059347181</v>
      </c>
      <c r="R76" s="748" t="n">
        <v>0</v>
      </c>
      <c r="S76" s="748" t="n">
        <v>7733.68256316868</v>
      </c>
      <c r="T76" s="748" t="n">
        <v>3788.24022038568</v>
      </c>
      <c r="U76" s="748" t="n">
        <v>0</v>
      </c>
      <c r="V76" s="748" t="n">
        <v>0</v>
      </c>
      <c r="W76" s="748" t="n">
        <v>0</v>
      </c>
      <c r="X76" s="748" t="n">
        <v>0</v>
      </c>
      <c r="Y76" s="748" t="n">
        <v>0</v>
      </c>
      <c r="Z76" s="748" t="n">
        <v>0</v>
      </c>
      <c r="AA76" s="748" t="n">
        <v>0</v>
      </c>
      <c r="AB76" s="748" t="n">
        <v>0</v>
      </c>
      <c r="AC76" s="749" t="n">
        <f aca="false">SUM(E76:AB76)</f>
        <v>29130.5128272317</v>
      </c>
      <c r="AD76" s="746"/>
      <c r="AE76" s="746"/>
      <c r="AF76" s="746"/>
      <c r="AG76" s="746"/>
      <c r="AH76" s="746"/>
      <c r="AI76" s="746"/>
      <c r="AJ76" s="746"/>
      <c r="AK76" s="746"/>
      <c r="AL76" s="746"/>
      <c r="AM76" s="746"/>
      <c r="AN76" s="746"/>
      <c r="AO76" s="746"/>
      <c r="AP76" s="746"/>
      <c r="AQ76" s="746"/>
      <c r="AR76" s="746"/>
      <c r="AS76" s="746"/>
      <c r="AT76" s="746"/>
      <c r="AU76" s="746"/>
      <c r="AV76" s="746"/>
      <c r="AW76" s="746"/>
      <c r="AX76" s="746"/>
      <c r="AY76" s="746"/>
      <c r="AZ76" s="746"/>
      <c r="BA76" s="746"/>
      <c r="BB76" s="746"/>
      <c r="BC76" s="746"/>
      <c r="BD76" s="746"/>
      <c r="BE76" s="746"/>
      <c r="BF76" s="746"/>
      <c r="BG76" s="746"/>
      <c r="BH76" s="746"/>
      <c r="BI76" s="746"/>
      <c r="BJ76" s="746"/>
      <c r="BK76" s="746"/>
      <c r="BL76" s="746"/>
      <c r="BM76" s="746"/>
      <c r="BN76" s="746"/>
      <c r="BO76" s="746"/>
      <c r="BP76" s="746"/>
      <c r="BQ76" s="746"/>
      <c r="BR76" s="746"/>
      <c r="BS76" s="746"/>
      <c r="BT76" s="746"/>
      <c r="BU76" s="746"/>
      <c r="BV76" s="746"/>
      <c r="BW76" s="746"/>
      <c r="BX76" s="746"/>
      <c r="BY76" s="746"/>
      <c r="BZ76" s="746"/>
      <c r="CA76" s="746"/>
      <c r="CB76" s="746"/>
      <c r="CC76" s="746"/>
      <c r="CD76" s="746"/>
      <c r="CE76" s="746"/>
      <c r="CF76" s="746"/>
      <c r="CG76" s="746"/>
      <c r="CH76" s="746"/>
      <c r="CI76" s="746"/>
      <c r="CJ76" s="746"/>
      <c r="CK76" s="746"/>
      <c r="CL76" s="746"/>
      <c r="CM76" s="746"/>
      <c r="CN76" s="746"/>
      <c r="CO76" s="746"/>
      <c r="CP76" s="746"/>
      <c r="CQ76" s="746"/>
      <c r="CR76" s="746"/>
      <c r="CS76" s="746"/>
      <c r="CT76" s="746"/>
      <c r="CU76" s="746"/>
      <c r="CV76" s="746"/>
      <c r="CW76" s="746"/>
      <c r="CX76" s="746"/>
      <c r="CY76" s="746"/>
      <c r="CZ76" s="746"/>
      <c r="DA76" s="746"/>
      <c r="DB76" s="746"/>
      <c r="DC76" s="746"/>
      <c r="DD76" s="746"/>
      <c r="DE76" s="746"/>
      <c r="DF76" s="746"/>
      <c r="DG76" s="746"/>
      <c r="DH76" s="746"/>
      <c r="DI76" s="746"/>
      <c r="DJ76" s="746"/>
      <c r="DK76" s="746"/>
      <c r="DL76" s="746"/>
      <c r="DM76" s="746"/>
      <c r="DN76" s="746"/>
      <c r="DO76" s="746"/>
      <c r="DP76" s="746"/>
      <c r="DQ76" s="746"/>
      <c r="DR76" s="746"/>
      <c r="DS76" s="746"/>
      <c r="DT76" s="746"/>
      <c r="DU76" s="746"/>
      <c r="DV76" s="746"/>
      <c r="DW76" s="746"/>
      <c r="DX76" s="746"/>
      <c r="DY76" s="746"/>
      <c r="DZ76" s="746"/>
      <c r="EA76" s="746"/>
      <c r="EB76" s="746"/>
      <c r="EC76" s="746"/>
      <c r="ED76" s="746"/>
      <c r="EE76" s="746"/>
      <c r="EF76" s="746"/>
      <c r="EG76" s="746"/>
      <c r="EH76" s="746"/>
      <c r="EI76" s="746"/>
      <c r="EJ76" s="746"/>
      <c r="EK76" s="746"/>
      <c r="EL76" s="746"/>
      <c r="EM76" s="746"/>
      <c r="EN76" s="746"/>
      <c r="EO76" s="746"/>
      <c r="EP76" s="746"/>
      <c r="EQ76" s="746"/>
      <c r="ER76" s="746"/>
      <c r="ES76" s="746"/>
      <c r="ET76" s="746"/>
      <c r="EU76" s="746"/>
      <c r="EV76" s="746"/>
      <c r="EW76" s="746"/>
      <c r="EX76" s="746"/>
      <c r="EY76" s="746"/>
      <c r="EZ76" s="746"/>
      <c r="FA76" s="746"/>
      <c r="FB76" s="746"/>
      <c r="FC76" s="746"/>
      <c r="FD76" s="746"/>
      <c r="FE76" s="746"/>
      <c r="FF76" s="746"/>
      <c r="FG76" s="746"/>
      <c r="FH76" s="746"/>
      <c r="FI76" s="746"/>
      <c r="FJ76" s="746"/>
      <c r="FK76" s="746"/>
      <c r="FL76" s="746"/>
      <c r="FM76" s="746"/>
      <c r="FN76" s="746"/>
      <c r="FO76" s="746"/>
      <c r="FP76" s="746"/>
      <c r="FQ76" s="746"/>
      <c r="FR76" s="746"/>
      <c r="FS76" s="746"/>
      <c r="FT76" s="746"/>
      <c r="FU76" s="746"/>
      <c r="FV76" s="746"/>
      <c r="FW76" s="746"/>
      <c r="FX76" s="746"/>
      <c r="FY76" s="746"/>
      <c r="FZ76" s="746"/>
      <c r="GA76" s="746"/>
      <c r="GB76" s="746"/>
      <c r="GC76" s="746"/>
      <c r="GD76" s="746"/>
      <c r="GE76" s="746"/>
      <c r="GF76" s="746"/>
      <c r="GG76" s="746"/>
      <c r="GH76" s="746"/>
      <c r="GI76" s="746"/>
      <c r="GJ76" s="746"/>
      <c r="GK76" s="746"/>
      <c r="GL76" s="746"/>
      <c r="GM76" s="746"/>
      <c r="GN76" s="746"/>
      <c r="GO76" s="746"/>
      <c r="GP76" s="746"/>
      <c r="GQ76" s="746"/>
      <c r="GR76" s="746"/>
      <c r="GS76" s="746"/>
      <c r="GT76" s="746"/>
      <c r="GU76" s="746"/>
      <c r="GV76" s="746"/>
      <c r="GW76" s="746"/>
      <c r="GX76" s="746"/>
      <c r="GY76" s="746"/>
      <c r="GZ76" s="746"/>
      <c r="HA76" s="746"/>
      <c r="HB76" s="746"/>
      <c r="HC76" s="746"/>
      <c r="HD76" s="746"/>
      <c r="HE76" s="746"/>
      <c r="HF76" s="746"/>
      <c r="HG76" s="746"/>
      <c r="HH76" s="746"/>
      <c r="HI76" s="746"/>
      <c r="HJ76" s="746"/>
      <c r="HK76" s="746"/>
      <c r="HL76" s="746"/>
      <c r="HM76" s="746"/>
      <c r="HN76" s="746"/>
      <c r="HO76" s="746"/>
      <c r="HP76" s="746"/>
      <c r="HQ76" s="746"/>
      <c r="HR76" s="746"/>
      <c r="HS76" s="746"/>
      <c r="HT76" s="746"/>
      <c r="HU76" s="746"/>
      <c r="HV76" s="746"/>
      <c r="HW76" s="746"/>
      <c r="HX76" s="746"/>
      <c r="HY76" s="746"/>
      <c r="HZ76" s="746"/>
      <c r="IA76" s="746"/>
      <c r="IB76" s="746"/>
      <c r="IC76" s="746"/>
      <c r="ID76" s="746"/>
      <c r="IE76" s="746"/>
      <c r="IF76" s="746"/>
      <c r="IG76" s="746"/>
      <c r="IH76" s="746"/>
      <c r="II76" s="746"/>
      <c r="IJ76" s="746"/>
      <c r="IK76" s="746"/>
      <c r="IL76" s="746"/>
      <c r="IM76" s="746"/>
      <c r="IN76" s="746"/>
      <c r="IO76" s="746"/>
      <c r="IP76" s="746"/>
      <c r="IQ76" s="746"/>
      <c r="IR76" s="746"/>
      <c r="IS76" s="746"/>
      <c r="IT76" s="746"/>
      <c r="IU76" s="746"/>
      <c r="IV76" s="746"/>
      <c r="IW76" s="746"/>
    </row>
    <row r="77" customFormat="false" ht="12.75" hidden="false" customHeight="false" outlineLevel="0" collapsed="false">
      <c r="A77" s="750"/>
      <c r="B77" s="751" t="s">
        <v>658</v>
      </c>
      <c r="C77" s="739"/>
      <c r="D77" s="739"/>
      <c r="E77" s="748" t="n">
        <v>0</v>
      </c>
      <c r="F77" s="748" t="n">
        <v>0</v>
      </c>
      <c r="G77" s="748" t="n">
        <v>0</v>
      </c>
      <c r="H77" s="748" t="n">
        <v>0</v>
      </c>
      <c r="I77" s="748" t="n">
        <v>0</v>
      </c>
      <c r="J77" s="748" t="n">
        <v>0</v>
      </c>
      <c r="K77" s="748" t="n">
        <v>0</v>
      </c>
      <c r="L77" s="748" t="n">
        <v>0</v>
      </c>
      <c r="M77" s="748" t="n">
        <v>0</v>
      </c>
      <c r="N77" s="748" t="n">
        <v>0</v>
      </c>
      <c r="O77" s="748" t="n">
        <v>0</v>
      </c>
      <c r="P77" s="748" t="n">
        <v>0</v>
      </c>
      <c r="Q77" s="748" t="n">
        <v>0</v>
      </c>
      <c r="R77" s="748" t="n">
        <v>0</v>
      </c>
      <c r="S77" s="748" t="n">
        <v>0</v>
      </c>
      <c r="T77" s="748" t="n">
        <v>8562.54456198347</v>
      </c>
      <c r="U77" s="748" t="n">
        <v>1125.65068114202</v>
      </c>
      <c r="V77" s="748" t="n">
        <v>1977.03667481663</v>
      </c>
      <c r="W77" s="748" t="n">
        <v>5618.20759344598</v>
      </c>
      <c r="X77" s="748" t="n">
        <v>6126.67353721329</v>
      </c>
      <c r="Y77" s="748" t="n">
        <v>4581.41904974846</v>
      </c>
      <c r="Z77" s="748" t="n">
        <v>5052.63202396804</v>
      </c>
      <c r="AA77" s="748" t="n">
        <v>4072.72458961097</v>
      </c>
      <c r="AB77" s="748" t="n">
        <v>0</v>
      </c>
      <c r="AC77" s="752" t="n">
        <f aca="false">SUM(E77:AB77)</f>
        <v>37116.8887119289</v>
      </c>
    </row>
    <row r="78" customFormat="false" ht="12.75" hidden="false" customHeight="false" outlineLevel="0" collapsed="false">
      <c r="A78" s="750"/>
      <c r="B78" s="751" t="s">
        <v>659</v>
      </c>
      <c r="C78" s="739"/>
      <c r="D78" s="739"/>
      <c r="E78" s="748" t="n">
        <v>0</v>
      </c>
      <c r="F78" s="748" t="n">
        <v>0</v>
      </c>
      <c r="G78" s="748" t="n">
        <v>0.113223854796889</v>
      </c>
      <c r="H78" s="748" t="n">
        <v>0.507308684436801</v>
      </c>
      <c r="I78" s="748" t="n">
        <v>0.425658453695837</v>
      </c>
      <c r="J78" s="748" t="n">
        <v>0.305227655986509</v>
      </c>
      <c r="K78" s="748" t="n">
        <v>0.223717409587889</v>
      </c>
      <c r="L78" s="748" t="n">
        <v>13.4708656113169</v>
      </c>
      <c r="M78" s="748" t="n">
        <v>22.5800033161996</v>
      </c>
      <c r="N78" s="748" t="n">
        <v>11.143654822335</v>
      </c>
      <c r="O78" s="748" t="n">
        <v>2.5397132894227</v>
      </c>
      <c r="P78" s="748" t="n">
        <v>2.10244988864143</v>
      </c>
      <c r="Q78" s="748" t="n">
        <v>0.144807121661721</v>
      </c>
      <c r="R78" s="748" t="n">
        <v>0.584686774941995</v>
      </c>
      <c r="S78" s="748" t="n">
        <v>0.598679717732757</v>
      </c>
      <c r="T78" s="748" t="n">
        <v>0.946005509641873</v>
      </c>
      <c r="U78" s="748" t="n">
        <v>3.21050159194112</v>
      </c>
      <c r="V78" s="748" t="n">
        <v>0</v>
      </c>
      <c r="W78" s="748" t="n">
        <v>0</v>
      </c>
      <c r="X78" s="748" t="n">
        <v>0</v>
      </c>
      <c r="Y78" s="748" t="n">
        <v>0</v>
      </c>
      <c r="Z78" s="748" t="n">
        <v>0</v>
      </c>
      <c r="AA78" s="748" t="n">
        <v>0</v>
      </c>
      <c r="AB78" s="748" t="n">
        <v>0</v>
      </c>
      <c r="AC78" s="752" t="n">
        <f aca="false">SUM(E78:AB78)</f>
        <v>58.8965037023391</v>
      </c>
    </row>
    <row r="79" customFormat="false" ht="12.75" hidden="false" customHeight="false" outlineLevel="0" collapsed="false">
      <c r="A79" s="750"/>
      <c r="B79" s="751" t="s">
        <v>660</v>
      </c>
      <c r="C79" s="739"/>
      <c r="D79" s="739"/>
      <c r="E79" s="748" t="n">
        <v>0</v>
      </c>
      <c r="F79" s="748" t="n">
        <v>0</v>
      </c>
      <c r="G79" s="748" t="n">
        <v>0</v>
      </c>
      <c r="H79" s="748" t="n">
        <v>0</v>
      </c>
      <c r="I79" s="748" t="n">
        <v>0</v>
      </c>
      <c r="J79" s="748" t="n">
        <v>0</v>
      </c>
      <c r="K79" s="748" t="n">
        <v>0</v>
      </c>
      <c r="L79" s="748" t="n">
        <v>0</v>
      </c>
      <c r="M79" s="748" t="n">
        <v>0</v>
      </c>
      <c r="N79" s="748" t="n">
        <v>0</v>
      </c>
      <c r="O79" s="748" t="n">
        <v>0</v>
      </c>
      <c r="P79" s="748" t="n">
        <v>0</v>
      </c>
      <c r="Q79" s="748" t="n">
        <v>0</v>
      </c>
      <c r="R79" s="748" t="n">
        <v>0</v>
      </c>
      <c r="S79" s="748" t="n">
        <v>0</v>
      </c>
      <c r="T79" s="748" t="n">
        <v>0</v>
      </c>
      <c r="U79" s="748" t="n">
        <v>0</v>
      </c>
      <c r="V79" s="748" t="n">
        <v>0</v>
      </c>
      <c r="W79" s="748" t="n">
        <v>0</v>
      </c>
      <c r="X79" s="748" t="n">
        <v>0</v>
      </c>
      <c r="Y79" s="748" t="n">
        <v>0</v>
      </c>
      <c r="Z79" s="748" t="n">
        <v>0</v>
      </c>
      <c r="AA79" s="748" t="n">
        <v>0</v>
      </c>
      <c r="AB79" s="748" t="n">
        <v>0</v>
      </c>
      <c r="AC79" s="752" t="n">
        <f aca="false">SUM(E79:AB79)</f>
        <v>0</v>
      </c>
    </row>
    <row r="80" customFormat="false" ht="12.75" hidden="false" customHeight="false" outlineLevel="0" collapsed="false">
      <c r="A80" s="750"/>
      <c r="B80" s="751" t="s">
        <v>661</v>
      </c>
      <c r="C80" s="739"/>
      <c r="D80" s="739"/>
      <c r="E80" s="753" t="n">
        <v>0</v>
      </c>
      <c r="F80" s="753" t="n">
        <v>0</v>
      </c>
      <c r="G80" s="753" t="n">
        <v>0</v>
      </c>
      <c r="H80" s="753" t="n">
        <v>0</v>
      </c>
      <c r="I80" s="753" t="n">
        <v>0</v>
      </c>
      <c r="J80" s="753" t="n">
        <v>0</v>
      </c>
      <c r="K80" s="753" t="n">
        <v>0</v>
      </c>
      <c r="L80" s="753" t="n">
        <v>0</v>
      </c>
      <c r="M80" s="753" t="n">
        <v>0</v>
      </c>
      <c r="N80" s="753" t="n">
        <v>0</v>
      </c>
      <c r="O80" s="753" t="n">
        <v>0</v>
      </c>
      <c r="P80" s="753" t="n">
        <v>0</v>
      </c>
      <c r="Q80" s="753" t="n">
        <v>0</v>
      </c>
      <c r="R80" s="753" t="n">
        <v>0</v>
      </c>
      <c r="S80" s="753" t="n">
        <v>0</v>
      </c>
      <c r="T80" s="753" t="n">
        <v>0</v>
      </c>
      <c r="U80" s="753" t="n">
        <v>0</v>
      </c>
      <c r="V80" s="753" t="n">
        <v>0</v>
      </c>
      <c r="W80" s="753" t="n">
        <v>0</v>
      </c>
      <c r="X80" s="753" t="n">
        <v>0</v>
      </c>
      <c r="Y80" s="753" t="n">
        <v>0</v>
      </c>
      <c r="Z80" s="753" t="n">
        <v>0</v>
      </c>
      <c r="AA80" s="753" t="n">
        <v>0</v>
      </c>
      <c r="AB80" s="753" t="n">
        <v>0</v>
      </c>
      <c r="AC80" s="752" t="n">
        <f aca="false">SUM(E80:AB80)</f>
        <v>0</v>
      </c>
    </row>
    <row r="81" customFormat="false" ht="12.75" hidden="false" customHeight="false" outlineLevel="0" collapsed="false">
      <c r="A81" s="750"/>
      <c r="B81" s="754" t="s">
        <v>662</v>
      </c>
      <c r="C81" s="739"/>
      <c r="D81" s="739"/>
      <c r="E81" s="689" t="n">
        <f aca="false">SUM(E76:E80)</f>
        <v>0</v>
      </c>
      <c r="F81" s="689" t="n">
        <f aca="false">SUM(F76:F80)</f>
        <v>260.869565217391</v>
      </c>
      <c r="G81" s="689" t="n">
        <f aca="false">SUM(G76:G80)</f>
        <v>369.171132238548</v>
      </c>
      <c r="H81" s="689" t="n">
        <f aca="false">SUM(H76:H80)</f>
        <v>0.507308684436801</v>
      </c>
      <c r="I81" s="689" t="n">
        <f aca="false">SUM(I76:I80)</f>
        <v>0.425658453695837</v>
      </c>
      <c r="J81" s="689" t="n">
        <f aca="false">SUM(J76:J80)</f>
        <v>0.305227655986509</v>
      </c>
      <c r="K81" s="689" t="n">
        <f aca="false">SUM(K76:K80)</f>
        <v>0.223717409587889</v>
      </c>
      <c r="L81" s="689" t="n">
        <f aca="false">SUM(L76:L80)</f>
        <v>2689.86864264062</v>
      </c>
      <c r="M81" s="689" t="n">
        <f aca="false">SUM(M76:M80)</f>
        <v>3354.22483833527</v>
      </c>
      <c r="N81" s="689" t="n">
        <f aca="false">SUM(N76:N80)</f>
        <v>2454.79086294416</v>
      </c>
      <c r="O81" s="689" t="n">
        <f aca="false">SUM(O76:O80)</f>
        <v>4314.90652847733</v>
      </c>
      <c r="P81" s="689" t="n">
        <f aca="false">SUM(P76:P80)</f>
        <v>2.10244988864143</v>
      </c>
      <c r="Q81" s="689" t="n">
        <f aca="false">SUM(Q76:Q80)</f>
        <v>4214.75074183976</v>
      </c>
      <c r="R81" s="689" t="n">
        <f aca="false">SUM(R76:R80)</f>
        <v>0.584686774941995</v>
      </c>
      <c r="S81" s="689" t="n">
        <f aca="false">SUM(S76:S80)</f>
        <v>7734.28124288641</v>
      </c>
      <c r="T81" s="689" t="n">
        <f aca="false">SUM(T76:T80)</f>
        <v>12351.7307878788</v>
      </c>
      <c r="U81" s="689" t="n">
        <f aca="false">SUM(U76:U80)</f>
        <v>1128.86118273396</v>
      </c>
      <c r="V81" s="689" t="n">
        <f aca="false">SUM(V76:V80)</f>
        <v>1977.03667481663</v>
      </c>
      <c r="W81" s="689" t="n">
        <f aca="false">SUM(W76:W80)</f>
        <v>5618.20759344598</v>
      </c>
      <c r="X81" s="689" t="n">
        <f aca="false">SUM(X76:X80)</f>
        <v>6126.67353721329</v>
      </c>
      <c r="Y81" s="689" t="n">
        <f aca="false">SUM(Y76:Y80)</f>
        <v>4581.41904974846</v>
      </c>
      <c r="Z81" s="689" t="n">
        <f aca="false">SUM(Z76:Z80)</f>
        <v>5052.63202396804</v>
      </c>
      <c r="AA81" s="689" t="n">
        <f aca="false">SUM(AA76:AA80)</f>
        <v>4072.72458961097</v>
      </c>
      <c r="AB81" s="689" t="n">
        <f aca="false">SUM(AB76:AB80)</f>
        <v>0</v>
      </c>
      <c r="AC81" s="752" t="n">
        <f aca="false">SUM(AC76:AC80)</f>
        <v>66306.2980428629</v>
      </c>
    </row>
    <row r="82" customFormat="false" ht="12.75" hidden="false" customHeight="false" outlineLevel="0" collapsed="false">
      <c r="A82" s="755"/>
      <c r="B82" s="739"/>
      <c r="C82" s="739"/>
      <c r="D82" s="739"/>
      <c r="E82" s="739"/>
      <c r="F82" s="739"/>
      <c r="G82" s="739"/>
      <c r="H82" s="739"/>
      <c r="I82" s="739"/>
      <c r="J82" s="739"/>
      <c r="K82" s="739"/>
      <c r="L82" s="739"/>
      <c r="M82" s="739"/>
      <c r="N82" s="739"/>
      <c r="O82" s="739"/>
      <c r="P82" s="739"/>
      <c r="Q82" s="739"/>
      <c r="R82" s="739"/>
      <c r="S82" s="739"/>
      <c r="T82" s="739"/>
      <c r="U82" s="739"/>
      <c r="V82" s="739"/>
      <c r="W82" s="739"/>
      <c r="X82" s="739"/>
      <c r="Y82" s="739"/>
      <c r="Z82" s="739"/>
      <c r="AA82" s="739"/>
      <c r="AB82" s="739"/>
      <c r="AC82" s="756"/>
    </row>
    <row r="83" customFormat="false" ht="12.75" hidden="false" customHeight="false" outlineLevel="0" collapsed="false">
      <c r="A83" s="757" t="s">
        <v>663</v>
      </c>
      <c r="B83" s="751"/>
      <c r="C83" s="739"/>
      <c r="D83" s="739"/>
      <c r="E83" s="739"/>
      <c r="F83" s="739"/>
      <c r="G83" s="739"/>
      <c r="H83" s="739"/>
      <c r="I83" s="739"/>
      <c r="J83" s="739"/>
      <c r="K83" s="739"/>
      <c r="L83" s="739"/>
      <c r="M83" s="739"/>
      <c r="N83" s="739"/>
      <c r="O83" s="739"/>
      <c r="P83" s="739"/>
      <c r="Q83" s="739"/>
      <c r="R83" s="739"/>
      <c r="S83" s="739"/>
      <c r="T83" s="739"/>
      <c r="U83" s="739"/>
      <c r="V83" s="739"/>
      <c r="W83" s="739"/>
      <c r="X83" s="739"/>
      <c r="Y83" s="739"/>
      <c r="Z83" s="739"/>
      <c r="AA83" s="739"/>
      <c r="AB83" s="739"/>
      <c r="AC83" s="756"/>
    </row>
    <row r="84" customFormat="false" ht="12.75" hidden="false" customHeight="false" outlineLevel="0" collapsed="false">
      <c r="A84" s="750"/>
      <c r="B84" s="751" t="s">
        <v>664</v>
      </c>
      <c r="C84" s="739"/>
      <c r="D84" s="739"/>
      <c r="E84" s="758" t="n">
        <v>0</v>
      </c>
      <c r="F84" s="758" t="n">
        <v>0</v>
      </c>
      <c r="G84" s="758" t="n">
        <v>0</v>
      </c>
      <c r="H84" s="758" t="n">
        <v>0</v>
      </c>
      <c r="I84" s="758" t="n">
        <v>0</v>
      </c>
      <c r="J84" s="758" t="n">
        <v>0</v>
      </c>
      <c r="K84" s="758" t="n">
        <v>0</v>
      </c>
      <c r="L84" s="758" t="n">
        <v>0</v>
      </c>
      <c r="M84" s="758" t="n">
        <v>2865.49513347704</v>
      </c>
      <c r="N84" s="758" t="n">
        <v>3744.66842639594</v>
      </c>
      <c r="O84" s="758" t="n">
        <v>0</v>
      </c>
      <c r="P84" s="758" t="n">
        <v>0</v>
      </c>
      <c r="Q84" s="758" t="n">
        <v>288.358456973294</v>
      </c>
      <c r="R84" s="758" t="n">
        <v>642.236316705336</v>
      </c>
      <c r="S84" s="758" t="n">
        <v>3685.35366492147</v>
      </c>
      <c r="T84" s="758" t="n">
        <v>5717.30834710744</v>
      </c>
      <c r="U84" s="758" t="n">
        <v>376.743619186805</v>
      </c>
      <c r="V84" s="758" t="n">
        <v>2078.86558809759</v>
      </c>
      <c r="W84" s="758" t="n">
        <v>260.695340501792</v>
      </c>
      <c r="X84" s="758" t="n">
        <v>4734.60966349405</v>
      </c>
      <c r="Y84" s="758" t="n">
        <v>8598.02403577418</v>
      </c>
      <c r="Z84" s="758" t="n">
        <v>2412.24789169996</v>
      </c>
      <c r="AA84" s="758" t="n">
        <v>4236.38803687879</v>
      </c>
      <c r="AB84" s="758" t="n">
        <v>572.311566416757</v>
      </c>
      <c r="AC84" s="759" t="n">
        <f aca="false">SUM(E84:AB84)</f>
        <v>40213.3060876304</v>
      </c>
    </row>
    <row r="85" customFormat="false" ht="12.75" hidden="false" customHeight="false" outlineLevel="0" collapsed="false">
      <c r="A85" s="750"/>
      <c r="B85" s="751" t="s">
        <v>665</v>
      </c>
      <c r="C85" s="739"/>
      <c r="D85" s="739"/>
      <c r="E85" s="758" t="n">
        <v>0</v>
      </c>
      <c r="F85" s="758" t="n">
        <v>0</v>
      </c>
      <c r="G85" s="758" t="n">
        <v>0</v>
      </c>
      <c r="H85" s="758" t="n">
        <v>0</v>
      </c>
      <c r="I85" s="758" t="n">
        <v>0</v>
      </c>
      <c r="J85" s="758" t="n">
        <v>0</v>
      </c>
      <c r="K85" s="758" t="n">
        <v>0</v>
      </c>
      <c r="L85" s="758" t="n">
        <v>0</v>
      </c>
      <c r="M85" s="758" t="n">
        <v>0</v>
      </c>
      <c r="N85" s="758" t="n">
        <v>0</v>
      </c>
      <c r="O85" s="758" t="n">
        <v>4156.45030995738</v>
      </c>
      <c r="P85" s="758" t="n">
        <v>0</v>
      </c>
      <c r="Q85" s="758" t="n">
        <v>2396.10682492582</v>
      </c>
      <c r="R85" s="758" t="n">
        <v>137.323979118329</v>
      </c>
      <c r="S85" s="758" t="n">
        <v>2514.44964716595</v>
      </c>
      <c r="T85" s="758" t="n">
        <v>6062.42136639119</v>
      </c>
      <c r="U85" s="758" t="n">
        <v>0</v>
      </c>
      <c r="V85" s="758" t="n">
        <v>0</v>
      </c>
      <c r="W85" s="758" t="n">
        <v>0</v>
      </c>
      <c r="X85" s="758" t="n">
        <v>0</v>
      </c>
      <c r="Y85" s="758" t="n">
        <v>0</v>
      </c>
      <c r="Z85" s="758" t="n">
        <v>0</v>
      </c>
      <c r="AA85" s="758" t="n">
        <v>0</v>
      </c>
      <c r="AB85" s="758" t="n">
        <v>0</v>
      </c>
      <c r="AC85" s="759" t="n">
        <f aca="false">SUM(E85:AB85)</f>
        <v>15266.7521275587</v>
      </c>
    </row>
    <row r="86" customFormat="false" ht="12.75" hidden="false" customHeight="false" outlineLevel="0" collapsed="false">
      <c r="A86" s="750"/>
      <c r="B86" s="751" t="s">
        <v>666</v>
      </c>
      <c r="C86" s="739"/>
      <c r="D86" s="739"/>
      <c r="E86" s="758" t="n">
        <v>0</v>
      </c>
      <c r="F86" s="758" t="n">
        <v>0</v>
      </c>
      <c r="G86" s="758" t="n">
        <v>0</v>
      </c>
      <c r="H86" s="758" t="n">
        <v>0</v>
      </c>
      <c r="I86" s="758" t="n">
        <v>0</v>
      </c>
      <c r="J86" s="758" t="n">
        <v>0</v>
      </c>
      <c r="K86" s="758" t="n">
        <v>0</v>
      </c>
      <c r="L86" s="758" t="n">
        <v>0</v>
      </c>
      <c r="M86" s="758" t="n">
        <v>0</v>
      </c>
      <c r="N86" s="758" t="n">
        <v>0</v>
      </c>
      <c r="O86" s="758" t="n">
        <v>0</v>
      </c>
      <c r="P86" s="758" t="n">
        <v>0</v>
      </c>
      <c r="Q86" s="758" t="n">
        <v>0</v>
      </c>
      <c r="R86" s="758" t="n">
        <v>0</v>
      </c>
      <c r="S86" s="758" t="n">
        <v>0</v>
      </c>
      <c r="T86" s="758" t="n">
        <v>382.237013774105</v>
      </c>
      <c r="U86" s="758" t="n">
        <v>36.8558327678898</v>
      </c>
      <c r="V86" s="758" t="n">
        <v>0</v>
      </c>
      <c r="W86" s="758" t="n">
        <v>31.9851049667179</v>
      </c>
      <c r="X86" s="758" t="n">
        <v>0</v>
      </c>
      <c r="Y86" s="758" t="n">
        <v>0</v>
      </c>
      <c r="Z86" s="758" t="n">
        <v>0</v>
      </c>
      <c r="AA86" s="758" t="n">
        <v>0</v>
      </c>
      <c r="AB86" s="758" t="n">
        <v>0</v>
      </c>
      <c r="AC86" s="759" t="n">
        <f aca="false">SUM(E86:AB86)</f>
        <v>451.077951508712</v>
      </c>
    </row>
    <row r="87" customFormat="false" ht="12.75" hidden="false" customHeight="false" outlineLevel="0" collapsed="false">
      <c r="A87" s="750"/>
      <c r="B87" s="751" t="s">
        <v>667</v>
      </c>
      <c r="C87" s="739"/>
      <c r="D87" s="739"/>
      <c r="E87" s="758" t="n">
        <v>0</v>
      </c>
      <c r="F87" s="758" t="n">
        <v>0</v>
      </c>
      <c r="G87" s="758" t="n">
        <v>0</v>
      </c>
      <c r="H87" s="758" t="n">
        <v>0</v>
      </c>
      <c r="I87" s="758" t="n">
        <v>0</v>
      </c>
      <c r="J87" s="758" t="n">
        <v>0</v>
      </c>
      <c r="K87" s="758" t="n">
        <v>0</v>
      </c>
      <c r="L87" s="758" t="n">
        <v>0</v>
      </c>
      <c r="M87" s="758" t="n">
        <v>0</v>
      </c>
      <c r="N87" s="758" t="n">
        <v>0</v>
      </c>
      <c r="O87" s="758" t="n">
        <v>0</v>
      </c>
      <c r="P87" s="758" t="n">
        <v>0</v>
      </c>
      <c r="Q87" s="758" t="n">
        <v>0</v>
      </c>
      <c r="R87" s="758" t="n">
        <v>0</v>
      </c>
      <c r="S87" s="758" t="n">
        <v>0</v>
      </c>
      <c r="T87" s="758" t="n">
        <v>0</v>
      </c>
      <c r="U87" s="758" t="n">
        <v>0</v>
      </c>
      <c r="V87" s="758" t="n">
        <v>0</v>
      </c>
      <c r="W87" s="758" t="n">
        <v>0</v>
      </c>
      <c r="X87" s="758" t="n">
        <v>0</v>
      </c>
      <c r="Y87" s="758" t="n">
        <v>0</v>
      </c>
      <c r="Z87" s="758" t="n">
        <v>0</v>
      </c>
      <c r="AA87" s="758" t="n">
        <v>0</v>
      </c>
      <c r="AB87" s="758" t="n">
        <v>0</v>
      </c>
      <c r="AC87" s="759" t="n">
        <f aca="false">SUM(E87:AB87)</f>
        <v>0</v>
      </c>
    </row>
    <row r="88" customFormat="false" ht="12.75" hidden="false" customHeight="false" outlineLevel="0" collapsed="false">
      <c r="A88" s="750"/>
      <c r="B88" s="751" t="s">
        <v>668</v>
      </c>
      <c r="C88" s="739"/>
      <c r="D88" s="739"/>
      <c r="E88" s="758" t="n">
        <v>27.5296833773087</v>
      </c>
      <c r="F88" s="758" t="n">
        <v>0</v>
      </c>
      <c r="G88" s="758" t="n">
        <v>0</v>
      </c>
      <c r="H88" s="758" t="n">
        <v>0</v>
      </c>
      <c r="I88" s="758" t="n">
        <v>497.900968564146</v>
      </c>
      <c r="J88" s="758" t="n">
        <v>0</v>
      </c>
      <c r="K88" s="758" t="n">
        <v>0</v>
      </c>
      <c r="L88" s="758" t="n">
        <v>0</v>
      </c>
      <c r="M88" s="758" t="n">
        <v>77.7083319515835</v>
      </c>
      <c r="N88" s="758" t="n">
        <v>0</v>
      </c>
      <c r="O88" s="758" t="n">
        <v>0</v>
      </c>
      <c r="P88" s="758" t="n">
        <v>0</v>
      </c>
      <c r="Q88" s="758" t="n">
        <v>0</v>
      </c>
      <c r="R88" s="758" t="n">
        <v>0</v>
      </c>
      <c r="S88" s="758" t="n">
        <v>0</v>
      </c>
      <c r="T88" s="758" t="n">
        <v>0</v>
      </c>
      <c r="U88" s="758" t="n">
        <v>0</v>
      </c>
      <c r="V88" s="758" t="n">
        <v>0</v>
      </c>
      <c r="W88" s="758" t="n">
        <v>0</v>
      </c>
      <c r="X88" s="758" t="n">
        <v>0</v>
      </c>
      <c r="Y88" s="758" t="n">
        <v>0</v>
      </c>
      <c r="Z88" s="758" t="n">
        <v>0</v>
      </c>
      <c r="AA88" s="758" t="n">
        <v>0</v>
      </c>
      <c r="AB88" s="758" t="n">
        <v>0</v>
      </c>
      <c r="AC88" s="759" t="n">
        <f aca="false">SUM(E88:AB88)</f>
        <v>603.138983893038</v>
      </c>
    </row>
    <row r="89" customFormat="false" ht="12.75" hidden="false" customHeight="false" outlineLevel="0" collapsed="false">
      <c r="A89" s="750"/>
      <c r="B89" s="751" t="s">
        <v>669</v>
      </c>
      <c r="C89" s="739"/>
      <c r="D89" s="739"/>
      <c r="E89" s="758" t="n">
        <v>0</v>
      </c>
      <c r="F89" s="758" t="n">
        <v>143.478260869565</v>
      </c>
      <c r="G89" s="758" t="n">
        <v>0</v>
      </c>
      <c r="H89" s="758" t="n">
        <v>0</v>
      </c>
      <c r="I89" s="758" t="n">
        <v>0</v>
      </c>
      <c r="J89" s="758" t="n">
        <v>0</v>
      </c>
      <c r="K89" s="758" t="n">
        <v>63.582842724979</v>
      </c>
      <c r="L89" s="758" t="n">
        <v>122.625463118895</v>
      </c>
      <c r="M89" s="758" t="n">
        <v>0</v>
      </c>
      <c r="N89" s="758" t="n">
        <v>0</v>
      </c>
      <c r="O89" s="758" t="n">
        <v>48.7093180937621</v>
      </c>
      <c r="P89" s="758" t="n">
        <v>38.7022550111359</v>
      </c>
      <c r="Q89" s="758" t="n">
        <v>32.996646884273</v>
      </c>
      <c r="R89" s="758" t="n">
        <v>224.442610208817</v>
      </c>
      <c r="S89" s="758" t="n">
        <v>136.216264511723</v>
      </c>
      <c r="T89" s="758" t="n">
        <v>0</v>
      </c>
      <c r="U89" s="758" t="n">
        <v>0</v>
      </c>
      <c r="V89" s="758" t="n">
        <v>68.1438901316132</v>
      </c>
      <c r="W89" s="758" t="n">
        <v>0</v>
      </c>
      <c r="X89" s="758" t="n">
        <v>0</v>
      </c>
      <c r="Y89" s="758" t="n">
        <v>0</v>
      </c>
      <c r="Z89" s="758" t="n">
        <v>0</v>
      </c>
      <c r="AA89" s="758" t="n">
        <v>0</v>
      </c>
      <c r="AB89" s="758" t="n">
        <v>0</v>
      </c>
      <c r="AC89" s="759" t="n">
        <f aca="false">SUM(E89:AB89)</f>
        <v>878.897551554764</v>
      </c>
    </row>
    <row r="90" customFormat="false" ht="12.75" hidden="false" customHeight="false" outlineLevel="0" collapsed="false">
      <c r="A90" s="750"/>
      <c r="B90" s="751" t="s">
        <v>670</v>
      </c>
      <c r="C90" s="739"/>
      <c r="D90" s="739"/>
      <c r="E90" s="758" t="n">
        <v>0</v>
      </c>
      <c r="F90" s="758" t="n">
        <v>0</v>
      </c>
      <c r="G90" s="758" t="n">
        <v>10.6849611063094</v>
      </c>
      <c r="H90" s="758" t="n">
        <v>0</v>
      </c>
      <c r="I90" s="758" t="n">
        <v>0</v>
      </c>
      <c r="J90" s="758" t="n">
        <v>0</v>
      </c>
      <c r="K90" s="758" t="n">
        <v>0</v>
      </c>
      <c r="L90" s="758" t="n">
        <v>0</v>
      </c>
      <c r="M90" s="758" t="n">
        <v>0</v>
      </c>
      <c r="N90" s="758" t="n">
        <v>0</v>
      </c>
      <c r="O90" s="758" t="n">
        <v>6.84424641611778</v>
      </c>
      <c r="P90" s="758" t="n">
        <v>4.51002227171492</v>
      </c>
      <c r="Q90" s="758" t="n">
        <v>41.7316557863501</v>
      </c>
      <c r="R90" s="758" t="n">
        <v>0</v>
      </c>
      <c r="S90" s="758" t="n">
        <v>66.7815615752333</v>
      </c>
      <c r="T90" s="758" t="n">
        <v>43.2313608815427</v>
      </c>
      <c r="U90" s="758" t="n">
        <v>29.2290829375228</v>
      </c>
      <c r="V90" s="758" t="n">
        <v>0</v>
      </c>
      <c r="W90" s="758" t="n">
        <v>0</v>
      </c>
      <c r="X90" s="758" t="n">
        <v>0</v>
      </c>
      <c r="Y90" s="758" t="n">
        <v>0</v>
      </c>
      <c r="Z90" s="758" t="n">
        <v>0</v>
      </c>
      <c r="AA90" s="758" t="n">
        <v>0</v>
      </c>
      <c r="AB90" s="758" t="n">
        <v>0</v>
      </c>
      <c r="AC90" s="759" t="n">
        <f aca="false">SUM(E90:AB90)</f>
        <v>203.012890974791</v>
      </c>
    </row>
    <row r="91" customFormat="false" ht="12.75" hidden="false" customHeight="false" outlineLevel="0" collapsed="false">
      <c r="A91" s="750"/>
      <c r="B91" s="751" t="s">
        <v>671</v>
      </c>
      <c r="C91" s="739"/>
      <c r="D91" s="739"/>
      <c r="E91" s="758" t="n">
        <v>0</v>
      </c>
      <c r="F91" s="758" t="n">
        <v>0</v>
      </c>
      <c r="G91" s="758" t="n">
        <v>0</v>
      </c>
      <c r="H91" s="758" t="n">
        <v>0</v>
      </c>
      <c r="I91" s="758" t="n">
        <v>0</v>
      </c>
      <c r="J91" s="758" t="n">
        <v>0</v>
      </c>
      <c r="K91" s="758" t="n">
        <v>0</v>
      </c>
      <c r="L91" s="758" t="n">
        <v>0</v>
      </c>
      <c r="M91" s="758" t="n">
        <v>0</v>
      </c>
      <c r="N91" s="758" t="n">
        <v>0</v>
      </c>
      <c r="O91" s="758" t="n">
        <v>0</v>
      </c>
      <c r="P91" s="758" t="n">
        <v>0</v>
      </c>
      <c r="Q91" s="758" t="n">
        <v>0</v>
      </c>
      <c r="R91" s="758" t="n">
        <v>0</v>
      </c>
      <c r="S91" s="758" t="n">
        <v>0</v>
      </c>
      <c r="T91" s="758" t="n">
        <v>0</v>
      </c>
      <c r="U91" s="758" t="n">
        <v>0</v>
      </c>
      <c r="V91" s="758" t="n">
        <v>0</v>
      </c>
      <c r="W91" s="758" t="n">
        <v>0</v>
      </c>
      <c r="X91" s="758" t="n">
        <v>0</v>
      </c>
      <c r="Y91" s="758" t="n">
        <v>0</v>
      </c>
      <c r="Z91" s="758" t="n">
        <v>0</v>
      </c>
      <c r="AA91" s="758" t="n">
        <v>0</v>
      </c>
      <c r="AB91" s="758" t="n">
        <v>0</v>
      </c>
      <c r="AC91" s="759" t="n">
        <f aca="false">SUM(E91:AB91)</f>
        <v>0</v>
      </c>
    </row>
    <row r="92" customFormat="false" ht="12.75" hidden="false" customHeight="false" outlineLevel="0" collapsed="false">
      <c r="A92" s="750"/>
      <c r="B92" s="751" t="s">
        <v>672</v>
      </c>
      <c r="C92" s="739"/>
      <c r="D92" s="739"/>
      <c r="E92" s="758" t="n">
        <v>0</v>
      </c>
      <c r="F92" s="758" t="n">
        <v>0</v>
      </c>
      <c r="G92" s="758" t="n">
        <v>0</v>
      </c>
      <c r="H92" s="758" t="n">
        <v>0</v>
      </c>
      <c r="I92" s="758" t="n">
        <v>0</v>
      </c>
      <c r="J92" s="758" t="n">
        <v>0</v>
      </c>
      <c r="K92" s="758" t="n">
        <v>0</v>
      </c>
      <c r="L92" s="758" t="n">
        <v>0</v>
      </c>
      <c r="M92" s="758" t="n">
        <v>0</v>
      </c>
      <c r="N92" s="758" t="n">
        <v>0</v>
      </c>
      <c r="O92" s="758" t="n">
        <v>0</v>
      </c>
      <c r="P92" s="758" t="n">
        <v>0</v>
      </c>
      <c r="Q92" s="758" t="n">
        <v>0</v>
      </c>
      <c r="R92" s="758" t="n">
        <v>0</v>
      </c>
      <c r="S92" s="758" t="n">
        <v>0</v>
      </c>
      <c r="T92" s="758" t="n">
        <v>0</v>
      </c>
      <c r="U92" s="758" t="n">
        <v>0</v>
      </c>
      <c r="V92" s="758" t="n">
        <v>0</v>
      </c>
      <c r="W92" s="758" t="n">
        <v>0</v>
      </c>
      <c r="X92" s="758" t="n">
        <v>0</v>
      </c>
      <c r="Y92" s="758" t="n">
        <v>0</v>
      </c>
      <c r="Z92" s="758" t="n">
        <v>0</v>
      </c>
      <c r="AA92" s="758" t="n">
        <v>0</v>
      </c>
      <c r="AB92" s="758" t="n">
        <v>0</v>
      </c>
      <c r="AC92" s="759" t="n">
        <f aca="false">SUM(E92:AB92)</f>
        <v>0</v>
      </c>
    </row>
    <row r="93" customFormat="false" ht="12.75" hidden="false" customHeight="false" outlineLevel="0" collapsed="false">
      <c r="A93" s="750"/>
      <c r="B93" s="751" t="s">
        <v>673</v>
      </c>
      <c r="C93" s="739"/>
      <c r="D93" s="739"/>
      <c r="E93" s="758" t="n">
        <v>0</v>
      </c>
      <c r="F93" s="758" t="n">
        <v>0</v>
      </c>
      <c r="G93" s="758" t="n">
        <v>0</v>
      </c>
      <c r="H93" s="758" t="n">
        <v>0</v>
      </c>
      <c r="I93" s="758" t="n">
        <v>0</v>
      </c>
      <c r="J93" s="758" t="n">
        <v>0</v>
      </c>
      <c r="K93" s="758" t="n">
        <v>0</v>
      </c>
      <c r="L93" s="758" t="n">
        <v>0</v>
      </c>
      <c r="M93" s="758" t="n">
        <v>0</v>
      </c>
      <c r="N93" s="758" t="n">
        <v>0</v>
      </c>
      <c r="O93" s="758" t="n">
        <v>0</v>
      </c>
      <c r="P93" s="758" t="n">
        <v>0</v>
      </c>
      <c r="Q93" s="758" t="n">
        <v>0</v>
      </c>
      <c r="R93" s="758" t="n">
        <v>0</v>
      </c>
      <c r="S93" s="758" t="n">
        <v>0</v>
      </c>
      <c r="T93" s="758" t="n">
        <v>0</v>
      </c>
      <c r="U93" s="758" t="n">
        <v>0</v>
      </c>
      <c r="V93" s="758" t="n">
        <v>0</v>
      </c>
      <c r="W93" s="758" t="n">
        <v>0</v>
      </c>
      <c r="X93" s="758" t="n">
        <v>0</v>
      </c>
      <c r="Y93" s="758" t="n">
        <v>0</v>
      </c>
      <c r="Z93" s="758" t="n">
        <v>0</v>
      </c>
      <c r="AA93" s="758" t="n">
        <v>0</v>
      </c>
      <c r="AB93" s="758" t="n">
        <v>0</v>
      </c>
      <c r="AC93" s="759" t="n">
        <f aca="false">SUM(E93:AB93)</f>
        <v>0</v>
      </c>
    </row>
    <row r="94" customFormat="false" ht="12.75" hidden="false" customHeight="false" outlineLevel="0" collapsed="false">
      <c r="A94" s="750"/>
      <c r="B94" s="751" t="s">
        <v>674</v>
      </c>
      <c r="C94" s="739"/>
      <c r="D94" s="739"/>
      <c r="E94" s="760" t="n">
        <v>0</v>
      </c>
      <c r="F94" s="760" t="n">
        <v>0</v>
      </c>
      <c r="G94" s="760" t="n">
        <v>0</v>
      </c>
      <c r="H94" s="760" t="n">
        <v>0</v>
      </c>
      <c r="I94" s="760" t="n">
        <v>0</v>
      </c>
      <c r="J94" s="760" t="n">
        <v>0</v>
      </c>
      <c r="K94" s="760" t="n">
        <v>0</v>
      </c>
      <c r="L94" s="760" t="n">
        <v>0</v>
      </c>
      <c r="M94" s="760" t="n">
        <v>98.5638285524789</v>
      </c>
      <c r="N94" s="760" t="n">
        <v>0</v>
      </c>
      <c r="O94" s="760" t="n">
        <v>40.2164858581945</v>
      </c>
      <c r="P94" s="760" t="n">
        <v>406.169376391982</v>
      </c>
      <c r="Q94" s="760" t="n">
        <v>226.954302670623</v>
      </c>
      <c r="R94" s="760" t="n">
        <v>64.8486078886311</v>
      </c>
      <c r="S94" s="760" t="n">
        <v>136.303107216026</v>
      </c>
      <c r="T94" s="760" t="n">
        <v>208.701928374656</v>
      </c>
      <c r="U94" s="760" t="n">
        <v>1088.42998068793</v>
      </c>
      <c r="V94" s="760" t="n">
        <v>327.922280601363</v>
      </c>
      <c r="W94" s="760" t="n">
        <v>520.274961597542</v>
      </c>
      <c r="X94" s="760" t="n">
        <v>445.720081135903</v>
      </c>
      <c r="Y94" s="760" t="n">
        <v>2385.38904415875</v>
      </c>
      <c r="Z94" s="760" t="n">
        <v>443.578478695073</v>
      </c>
      <c r="AA94" s="760" t="n">
        <v>675.56892286935</v>
      </c>
      <c r="AB94" s="760" t="n">
        <v>843.453900303325</v>
      </c>
      <c r="AC94" s="761" t="n">
        <f aca="false">SUM(E94:AB94)</f>
        <v>7912.09528700182</v>
      </c>
    </row>
    <row r="95" customFormat="false" ht="12.75" hidden="false" customHeight="false" outlineLevel="0" collapsed="false">
      <c r="A95" s="750"/>
      <c r="B95" s="754" t="s">
        <v>675</v>
      </c>
      <c r="C95" s="739"/>
      <c r="D95" s="739"/>
      <c r="E95" s="762" t="n">
        <f aca="false">SUM(E84:E94)</f>
        <v>27.5296833773087</v>
      </c>
      <c r="F95" s="762" t="n">
        <f aca="false">SUM(F84:F94)</f>
        <v>143.478260869565</v>
      </c>
      <c r="G95" s="762" t="n">
        <f aca="false">SUM(G84:G94)</f>
        <v>10.6849611063094</v>
      </c>
      <c r="H95" s="762" t="n">
        <f aca="false">SUM(H84:H94)</f>
        <v>0</v>
      </c>
      <c r="I95" s="762" t="n">
        <f aca="false">SUM(I84:I94)</f>
        <v>497.900968564146</v>
      </c>
      <c r="J95" s="762" t="n">
        <f aca="false">SUM(J84:J94)</f>
        <v>0</v>
      </c>
      <c r="K95" s="762" t="n">
        <f aca="false">SUM(K84:K94)</f>
        <v>63.582842724979</v>
      </c>
      <c r="L95" s="762" t="n">
        <f aca="false">SUM(L84:L94)</f>
        <v>122.625463118895</v>
      </c>
      <c r="M95" s="762" t="n">
        <f aca="false">SUM(M84:M94)</f>
        <v>3041.7672939811</v>
      </c>
      <c r="N95" s="762" t="n">
        <f aca="false">SUM(N84:N94)</f>
        <v>3744.66842639594</v>
      </c>
      <c r="O95" s="762" t="n">
        <f aca="false">SUM(O84:O94)</f>
        <v>4252.22036032546</v>
      </c>
      <c r="P95" s="762" t="n">
        <f aca="false">SUM(P84:P94)</f>
        <v>449.381653674833</v>
      </c>
      <c r="Q95" s="762" t="n">
        <f aca="false">SUM(Q84:Q94)</f>
        <v>2986.14788724036</v>
      </c>
      <c r="R95" s="762" t="n">
        <f aca="false">SUM(R84:R94)</f>
        <v>1068.85151392111</v>
      </c>
      <c r="S95" s="762" t="n">
        <f aca="false">SUM(S84:S94)</f>
        <v>6539.10424539039</v>
      </c>
      <c r="T95" s="762" t="n">
        <f aca="false">SUM(T84:T94)</f>
        <v>12413.9000165289</v>
      </c>
      <c r="U95" s="762" t="n">
        <f aca="false">SUM(U84:U94)</f>
        <v>1531.25851558015</v>
      </c>
      <c r="V95" s="762" t="n">
        <f aca="false">SUM(V84:V94)</f>
        <v>2474.93175883057</v>
      </c>
      <c r="W95" s="762" t="n">
        <f aca="false">SUM(W84:W94)</f>
        <v>812.955407066052</v>
      </c>
      <c r="X95" s="762" t="n">
        <f aca="false">SUM(X84:X94)</f>
        <v>5180.32974462995</v>
      </c>
      <c r="Y95" s="762" t="n">
        <f aca="false">SUM(Y84:Y94)</f>
        <v>10983.4130799329</v>
      </c>
      <c r="Z95" s="762" t="n">
        <f aca="false">SUM(Z84:Z94)</f>
        <v>2855.82637039503</v>
      </c>
      <c r="AA95" s="762" t="n">
        <f aca="false">SUM(AA84:AA94)</f>
        <v>4911.95695974814</v>
      </c>
      <c r="AB95" s="762" t="n">
        <f aca="false">SUM(AB84:AB94)</f>
        <v>1415.76546672008</v>
      </c>
      <c r="AC95" s="759" t="n">
        <f aca="false">SUM(AC84:AC94)</f>
        <v>65528.2808801222</v>
      </c>
    </row>
    <row r="96" customFormat="false" ht="13.5" hidden="false" customHeight="false" outlineLevel="0" collapsed="false">
      <c r="A96" s="763"/>
      <c r="B96" s="764"/>
      <c r="C96" s="764"/>
      <c r="D96" s="764"/>
      <c r="E96" s="764"/>
      <c r="F96" s="764"/>
      <c r="G96" s="764"/>
      <c r="H96" s="764"/>
      <c r="I96" s="764"/>
      <c r="J96" s="764"/>
      <c r="K96" s="764"/>
      <c r="L96" s="764"/>
      <c r="M96" s="764"/>
      <c r="N96" s="764"/>
      <c r="O96" s="764"/>
      <c r="P96" s="764"/>
      <c r="Q96" s="764"/>
      <c r="R96" s="764"/>
      <c r="S96" s="764"/>
      <c r="T96" s="764"/>
      <c r="U96" s="764"/>
      <c r="V96" s="764"/>
      <c r="W96" s="764"/>
      <c r="X96" s="764"/>
      <c r="Y96" s="764"/>
      <c r="Z96" s="764"/>
      <c r="AA96" s="764"/>
      <c r="AB96" s="764"/>
      <c r="AC96" s="765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1997-08-11T12:38:58Z</dcterms:created>
  <dc:creator>Gerald L. Gobbi</dc:creator>
  <dc:description/>
  <dc:language>en-US</dc:language>
  <cp:lastModifiedBy>kkindal</cp:lastModifiedBy>
  <cp:lastPrinted>2000-06-05T12:47:20Z</cp:lastPrinted>
  <cp:revision>0</cp:revision>
  <dc:subject/>
  <dc:title/>
</cp:coreProperties>
</file>